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30" windowWidth="15480" windowHeight="6690" tabRatio="886" activeTab="0"/>
  </bookViews>
  <sheets>
    <sheet name="Introduction" sheetId="1" r:id="rId1"/>
    <sheet name="Table of Contents" sheetId="2" r:id="rId2"/>
    <sheet name="Operations in Inventory" sheetId="3" r:id="rId3"/>
    <sheet name="Direct - Stationary Combustion" sheetId="4" r:id="rId4"/>
    <sheet name="Mobile &amp; Transportation" sheetId="5" r:id="rId5"/>
    <sheet name="Waste Mngmt." sheetId="6" r:id="rId6"/>
    <sheet name="Direct - Make-up Chemicals" sheetId="7" r:id="rId7"/>
    <sheet name="CHP Allocation" sheetId="8" r:id="rId8"/>
    <sheet name="Indirect - Energy Imports" sheetId="9" r:id="rId9"/>
    <sheet name="Indirect - Energy Exports" sheetId="10" r:id="rId10"/>
    <sheet name="CO2 Imports and Exports" sheetId="11" r:id="rId11"/>
    <sheet name="Summary Table" sheetId="12" r:id="rId12"/>
    <sheet name="Custom Emission Factors" sheetId="13" r:id="rId13"/>
    <sheet name="Energy content" sheetId="14" r:id="rId14"/>
    <sheet name="Conversion Factors" sheetId="15" r:id="rId15"/>
    <sheet name="Biomass Combustion CO2" sheetId="16" r:id="rId16"/>
    <sheet name="Revision Log" sheetId="17" r:id="rId17"/>
  </sheets>
  <externalReferences>
    <externalReference r:id="rId20"/>
  </externalReferences>
  <definedNames>
    <definedName name="CO2perGJ_jet">#REF!</definedName>
    <definedName name="D1_Air">#REF!</definedName>
    <definedName name="D1_Air_total">#REF!</definedName>
    <definedName name="D1_Boat">#REF!</definedName>
    <definedName name="D1_Boat_total">#REF!</definedName>
    <definedName name="D1_Rail">#REF!</definedName>
    <definedName name="D1_Rail_total">#REF!</definedName>
    <definedName name="D1_Road">#REF!</definedName>
    <definedName name="D1_Road_total">#REF!</definedName>
    <definedName name="DirectPart1">#REF!</definedName>
    <definedName name="get_dieselgperkm">'[1]Reference'!$E$196:$J$259</definedName>
    <definedName name="get_gasgperkm">'[1]Reference'!$E$196:$I$259</definedName>
    <definedName name="Gjperton_jet">#REF!</definedName>
    <definedName name="Go_D2_Air">'[1]Macros'!#REF!</definedName>
    <definedName name="Go_D2_Road">'[1]Macros'!#REF!</definedName>
    <definedName name="Go_In1_air">'[1]Macros'!#REF!</definedName>
    <definedName name="Go_In1_boat">'[1]Macros'!#REF!</definedName>
    <definedName name="Go_In1_Fuel">'[1]Macros'!#REF!</definedName>
    <definedName name="Go_In1_rail">'[1]Macros'!#REF!</definedName>
    <definedName name="Go_Somewhere">'[1]Macros'!#REF!</definedName>
    <definedName name="In2_Air">#REF!</definedName>
    <definedName name="In2_Air_total">#REF!</definedName>
    <definedName name="In2_Boat">#REF!</definedName>
    <definedName name="In2_Boat_total">#REF!</definedName>
    <definedName name="In2_Rail">#REF!</definedName>
    <definedName name="In2_Rail_total">#REF!</definedName>
    <definedName name="IN2_Road_total">#REF!</definedName>
    <definedName name="kmper_nm">#REF!</definedName>
    <definedName name="line_type">#REF!</definedName>
    <definedName name="_xlnm.Print_Area" localSheetId="15">'Biomass Combustion CO2'!$B$3:$G$9,'Biomass Combustion CO2'!$B$20:$N$41,'Biomass Combustion CO2'!$B$48:$L$70</definedName>
    <definedName name="_xlnm.Print_Area" localSheetId="7">'CHP Allocation'!$B$14:$R$29</definedName>
    <definedName name="_xlnm.Print_Area" localSheetId="10">'CO2 Imports and Exports'!$B$2:$H$21</definedName>
    <definedName name="_xlnm.Print_Area" localSheetId="6">'Direct - Make-up Chemicals'!$B$6:$G$23</definedName>
    <definedName name="_xlnm.Print_Area" localSheetId="3">'Direct - Stationary Combustion'!$B$14:$M$40</definedName>
    <definedName name="_xlnm.Print_Area" localSheetId="13">'Energy content'!$A$2:$G$37</definedName>
    <definedName name="_xlnm.Print_Area" localSheetId="9">'Indirect - Energy Exports'!$B$13:$O$36</definedName>
    <definedName name="_xlnm.Print_Area" localSheetId="8">'Indirect - Energy Imports'!$B$11:$L$34</definedName>
    <definedName name="_xlnm.Print_Area" localSheetId="0">'Introduction'!$B$1:$J$34</definedName>
    <definedName name="_xlnm.Print_Area" localSheetId="4">'Mobile &amp; Transportation'!$B$15:$P$76,'Mobile &amp; Transportation'!$B$80:$P$116</definedName>
    <definedName name="_xlnm.Print_Area" localSheetId="2">'Operations in Inventory'!$B$5:$H$62</definedName>
    <definedName name="_xlnm.Print_Area" localSheetId="11">'Summary Table'!$B$4:$J$40</definedName>
    <definedName name="_xlnm.Print_Area" localSheetId="1">'Table of Contents'!$B$2:$H$21</definedName>
    <definedName name="_xlnm.Print_Area" localSheetId="5">'Waste Mngmt.'!$B$14:$S$57,'Waste Mngmt.'!$C$63:$F$116,'Waste Mngmt.'!$B$124:$N$159</definedName>
    <definedName name="Z_E748B311_90F6_4A4B_A4FB_821E74008EC3_.wvu.Cols" localSheetId="10" hidden="1">'CO2 Imports and Exports'!$I:$L</definedName>
    <definedName name="Z_E748B311_90F6_4A4B_A4FB_821E74008EC3_.wvu.Cols" localSheetId="6" hidden="1">'Direct - Make-up Chemicals'!$I:$L</definedName>
    <definedName name="Z_E748B311_90F6_4A4B_A4FB_821E74008EC3_.wvu.Cols" localSheetId="2" hidden="1">'Operations in Inventory'!$C:$E</definedName>
    <definedName name="Z_E748B311_90F6_4A4B_A4FB_821E74008EC3_.wvu.PrintArea" localSheetId="15" hidden="1">'Biomass Combustion CO2'!$B$3:$G$9,'Biomass Combustion CO2'!$B$20:$N$41,'Biomass Combustion CO2'!$B$48:$L$70</definedName>
    <definedName name="Z_E748B311_90F6_4A4B_A4FB_821E74008EC3_.wvu.PrintArea" localSheetId="7" hidden="1">'CHP Allocation'!$B$14:$R$29</definedName>
    <definedName name="Z_E748B311_90F6_4A4B_A4FB_821E74008EC3_.wvu.PrintArea" localSheetId="10" hidden="1">'CO2 Imports and Exports'!$B$2:$H$21</definedName>
    <definedName name="Z_E748B311_90F6_4A4B_A4FB_821E74008EC3_.wvu.PrintArea" localSheetId="6" hidden="1">'Direct - Make-up Chemicals'!$B$6:$G$13</definedName>
    <definedName name="Z_E748B311_90F6_4A4B_A4FB_821E74008EC3_.wvu.PrintArea" localSheetId="3" hidden="1">'Direct - Stationary Combustion'!$B$14:$M$40</definedName>
    <definedName name="Z_E748B311_90F6_4A4B_A4FB_821E74008EC3_.wvu.PrintArea" localSheetId="13" hidden="1">'Energy content'!$A$2:$G$37</definedName>
    <definedName name="Z_E748B311_90F6_4A4B_A4FB_821E74008EC3_.wvu.PrintArea" localSheetId="9" hidden="1">'Indirect - Energy Exports'!$B$13:$O$36</definedName>
    <definedName name="Z_E748B311_90F6_4A4B_A4FB_821E74008EC3_.wvu.PrintArea" localSheetId="8" hidden="1">'Indirect - Energy Imports'!$B$11:$L$34</definedName>
    <definedName name="Z_E748B311_90F6_4A4B_A4FB_821E74008EC3_.wvu.PrintArea" localSheetId="0" hidden="1">'Introduction'!$B$1:$J$34</definedName>
    <definedName name="Z_E748B311_90F6_4A4B_A4FB_821E74008EC3_.wvu.PrintArea" localSheetId="4" hidden="1">'Mobile &amp; Transportation'!$B$16:$N$75,'Mobile &amp; Transportation'!#REF!,'Mobile &amp; Transportation'!$B$80:$L$116</definedName>
    <definedName name="Z_E748B311_90F6_4A4B_A4FB_821E74008EC3_.wvu.PrintArea" localSheetId="2" hidden="1">'Operations in Inventory'!$B$5:$H$62</definedName>
    <definedName name="Z_E748B311_90F6_4A4B_A4FB_821E74008EC3_.wvu.PrintArea" localSheetId="11" hidden="1">'Summary Table'!$B$4:$J$35</definedName>
    <definedName name="Z_E748B311_90F6_4A4B_A4FB_821E74008EC3_.wvu.PrintArea" localSheetId="1" hidden="1">'Table of Contents'!$B$2:$H$21</definedName>
    <definedName name="Z_E748B311_90F6_4A4B_A4FB_821E74008EC3_.wvu.PrintArea" localSheetId="5" hidden="1">'Waste Mngmt.'!$B$14:$Q$57,'Waste Mngmt.'!$C$63:$F$117,'Waste Mngmt.'!$B$124:$L$159</definedName>
    <definedName name="Z_E748B311_90F6_4A4B_A4FB_821E74008EC3_.wvu.Rows" localSheetId="4" hidden="1">'Mobile &amp; Transportation'!$74:$74</definedName>
  </definedNames>
  <calcPr fullCalcOnLoad="1"/>
</workbook>
</file>

<file path=xl/comments13.xml><?xml version="1.0" encoding="utf-8"?>
<comments xmlns="http://schemas.openxmlformats.org/spreadsheetml/2006/main">
  <authors>
    <author>System Administrator</author>
  </authors>
  <commentList>
    <comment ref="F16" authorId="0">
      <text>
        <r>
          <rPr>
            <b/>
            <sz val="8"/>
            <rFont val="Tahoma"/>
            <family val="2"/>
          </rPr>
          <t>3.664 = conversion factor between C and CO</t>
        </r>
        <r>
          <rPr>
            <b/>
            <sz val="8"/>
            <rFont val="Tahoma"/>
            <family val="2"/>
          </rPr>
          <t xml:space="preserve">2 </t>
        </r>
      </text>
    </comment>
  </commentList>
</comments>
</file>

<file path=xl/comments5.xml><?xml version="1.0" encoding="utf-8"?>
<comments xmlns="http://schemas.openxmlformats.org/spreadsheetml/2006/main">
  <authors>
    <author>RPM Systems, Inc.</author>
    <author>System Administrator</author>
    <author>Brad Upton</author>
  </authors>
  <commentList>
    <comment ref="I55" authorId="0">
      <text>
        <r>
          <rPr>
            <sz val="8"/>
            <rFont val="Tahoma"/>
            <family val="2"/>
          </rPr>
          <t>Coal varies in heat content.  Check Revised 1996 IPCC Guidelines for National Greenhouse Gas Inventories: Reference Manual (Volume 3) for country specific and coal grade specific energy content values</t>
        </r>
      </text>
    </comment>
    <comment ref="L55" authorId="1">
      <text>
        <r>
          <rPr>
            <sz val="8"/>
            <rFont val="Tahoma"/>
            <family val="2"/>
          </rPr>
          <t xml:space="preserve">IPCC emission factor for Bituminous coal
</t>
        </r>
      </text>
    </comment>
    <comment ref="L71" authorId="1">
      <text>
        <r>
          <rPr>
            <sz val="8"/>
            <rFont val="Tahoma"/>
            <family val="2"/>
          </rPr>
          <t xml:space="preserve">IPCC emission factor for Bituminous coal
</t>
        </r>
      </text>
    </comment>
    <comment ref="L23" authorId="2">
      <text>
        <r>
          <rPr>
            <sz val="8"/>
            <rFont val="Tahoma"/>
            <family val="2"/>
          </rPr>
          <t>Default emission factors are based on lower heating values. They are sourced from IPCC, 1997, Vol. 3, if not otherwise noted</t>
        </r>
      </text>
    </comment>
    <comment ref="I23" authorId="2">
      <text>
        <r>
          <rPr>
            <sz val="8"/>
            <rFont val="Tahoma"/>
            <family val="2"/>
          </rPr>
          <t>These are lower heating values sourced from American Petroleum Institute, 2004, if not otherwise indicated.</t>
        </r>
        <r>
          <rPr>
            <sz val="8"/>
            <rFont val="Tahoma"/>
            <family val="2"/>
          </rPr>
          <t xml:space="preserve">
</t>
        </r>
      </text>
    </comment>
    <comment ref="I71" authorId="0">
      <text>
        <r>
          <rPr>
            <sz val="8"/>
            <rFont val="Tahoma"/>
            <family val="2"/>
          </rPr>
          <t>Coal varies in heat content.  Check Revised 1996 IPCC Guidelines for National Greenhouse Gas Inventories: Reference Manual (Volume 3) for country specific and coal grade specific energy content values</t>
        </r>
      </text>
    </comment>
  </commentList>
</comments>
</file>

<file path=xl/sharedStrings.xml><?xml version="1.0" encoding="utf-8"?>
<sst xmlns="http://schemas.openxmlformats.org/spreadsheetml/2006/main" count="1297" uniqueCount="847">
  <si>
    <t>Default</t>
  </si>
  <si>
    <t>Custom</t>
  </si>
  <si>
    <t>Used</t>
  </si>
  <si>
    <t xml:space="preserve"> = litres per 100 km</t>
  </si>
  <si>
    <t>Source Description</t>
  </si>
  <si>
    <t>fuel used</t>
  </si>
  <si>
    <t>Units</t>
  </si>
  <si>
    <t>Type</t>
  </si>
  <si>
    <t>F = B x E</t>
  </si>
  <si>
    <t>Road transportation</t>
  </si>
  <si>
    <t>Sample fleet</t>
  </si>
  <si>
    <t>US gals</t>
  </si>
  <si>
    <t>Gasoline</t>
  </si>
  <si>
    <t>Imp. gals</t>
  </si>
  <si>
    <t>litres</t>
  </si>
  <si>
    <t>Metric tonnes</t>
  </si>
  <si>
    <t>Diesel</t>
  </si>
  <si>
    <t>lbs.</t>
  </si>
  <si>
    <t>CNG</t>
  </si>
  <si>
    <t>kg</t>
  </si>
  <si>
    <t xml:space="preserve">Rail transportation </t>
  </si>
  <si>
    <t>Imp gals</t>
  </si>
  <si>
    <t>Short tons</t>
  </si>
  <si>
    <t>Other fuel</t>
  </si>
  <si>
    <t xml:space="preserve">Water transportation </t>
  </si>
  <si>
    <t>Last row above totals enter no data here</t>
  </si>
  <si>
    <t>(Derived)</t>
  </si>
  <si>
    <t>standard cubic meter</t>
  </si>
  <si>
    <t>Step 5: CO2 exported to PCC plant 
(calculated in "CO2 Imports and Exports" worksheet)</t>
  </si>
  <si>
    <t>Step 6:  GHG emissions from stationary fossil fuel combustion</t>
  </si>
  <si>
    <t xml:space="preserve">Step 4: Sum GHG emissions and CO2 exports: </t>
  </si>
  <si>
    <t>IMPORTANT! For equations to function correctly, numerator of emission factors must be in terms of kg of GHG and denominator must match units of fuel quantity!!</t>
  </si>
  <si>
    <r>
      <t>CO</t>
    </r>
    <r>
      <rPr>
        <vertAlign val="subscript"/>
        <sz val="10"/>
        <rFont val="Arial"/>
        <family val="2"/>
      </rPr>
      <t>2</t>
    </r>
    <r>
      <rPr>
        <sz val="10"/>
        <rFont val="Arial"/>
        <family val="0"/>
      </rPr>
      <t xml:space="preserve"> emission factor
Suggested default emission factors are shown at right</t>
    </r>
  </si>
  <si>
    <r>
      <t>CH</t>
    </r>
    <r>
      <rPr>
        <vertAlign val="subscript"/>
        <sz val="10"/>
        <rFont val="Arial"/>
        <family val="2"/>
      </rPr>
      <t>4</t>
    </r>
    <r>
      <rPr>
        <sz val="10"/>
        <rFont val="Arial"/>
        <family val="0"/>
      </rPr>
      <t xml:space="preserve"> emission factor
Suggested default emission factors are shown at right</t>
    </r>
  </si>
  <si>
    <r>
      <t>N</t>
    </r>
    <r>
      <rPr>
        <vertAlign val="subscript"/>
        <sz val="10"/>
        <rFont val="Arial"/>
        <family val="2"/>
      </rPr>
      <t>2</t>
    </r>
    <r>
      <rPr>
        <sz val="10"/>
        <rFont val="Arial"/>
        <family val="0"/>
      </rPr>
      <t>O emission factor
Suggested default emission factors are shown at right</t>
    </r>
  </si>
  <si>
    <t>(kg CO2/GJ LHV)</t>
  </si>
  <si>
    <r>
      <t>DIRECT
CO</t>
    </r>
    <r>
      <rPr>
        <b/>
        <vertAlign val="subscript"/>
        <sz val="10"/>
        <rFont val="Arial"/>
        <family val="2"/>
      </rPr>
      <t>2</t>
    </r>
    <r>
      <rPr>
        <b/>
        <sz val="10"/>
        <rFont val="Arial"/>
        <family val="2"/>
      </rPr>
      <t xml:space="preserve"> emissions (metric tonnes)</t>
    </r>
  </si>
  <si>
    <r>
      <t>DIRECT
CH</t>
    </r>
    <r>
      <rPr>
        <b/>
        <vertAlign val="subscript"/>
        <sz val="10"/>
        <rFont val="Arial"/>
        <family val="2"/>
      </rPr>
      <t>4</t>
    </r>
    <r>
      <rPr>
        <b/>
        <sz val="10"/>
        <rFont val="Arial"/>
        <family val="2"/>
      </rPr>
      <t xml:space="preserve"> emissions (metric tonnes)</t>
    </r>
  </si>
  <si>
    <r>
      <t>DIRECT
N</t>
    </r>
    <r>
      <rPr>
        <b/>
        <vertAlign val="subscript"/>
        <sz val="10"/>
        <rFont val="Arial"/>
        <family val="2"/>
      </rPr>
      <t>2</t>
    </r>
    <r>
      <rPr>
        <b/>
        <sz val="10"/>
        <rFont val="Arial"/>
        <family val="2"/>
      </rPr>
      <t>O emissions (metric tonnes)</t>
    </r>
  </si>
  <si>
    <t>DIRECT EMISSIONS</t>
  </si>
  <si>
    <r>
      <t>tonnes CO</t>
    </r>
    <r>
      <rPr>
        <b/>
        <vertAlign val="subscript"/>
        <sz val="10"/>
        <rFont val="Arial"/>
        <family val="2"/>
      </rPr>
      <t>2</t>
    </r>
  </si>
  <si>
    <r>
      <t>tonnes CH</t>
    </r>
    <r>
      <rPr>
        <b/>
        <vertAlign val="subscript"/>
        <sz val="10"/>
        <rFont val="Arial"/>
        <family val="2"/>
      </rPr>
      <t>4</t>
    </r>
  </si>
  <si>
    <r>
      <t>tonnes N</t>
    </r>
    <r>
      <rPr>
        <b/>
        <vertAlign val="subscript"/>
        <sz val="10"/>
        <rFont val="Arial"/>
        <family val="2"/>
      </rPr>
      <t>2</t>
    </r>
    <r>
      <rPr>
        <b/>
        <sz val="10"/>
        <rFont val="Arial"/>
        <family val="2"/>
      </rPr>
      <t>O</t>
    </r>
  </si>
  <si>
    <t>E = A1 × A2 × B / 1000</t>
  </si>
  <si>
    <t>F = A1 × A2 × C / 1000</t>
  </si>
  <si>
    <t>E = A1 × A2 × D / 1000</t>
  </si>
  <si>
    <t>INDIRECT EMISSIONS</t>
  </si>
  <si>
    <r>
      <t>INDIRECT
CO</t>
    </r>
    <r>
      <rPr>
        <b/>
        <vertAlign val="subscript"/>
        <sz val="10"/>
        <rFont val="Arial"/>
        <family val="2"/>
      </rPr>
      <t>2</t>
    </r>
    <r>
      <rPr>
        <b/>
        <sz val="10"/>
        <rFont val="Arial"/>
        <family val="2"/>
      </rPr>
      <t xml:space="preserve"> emissions (metric tonnes)</t>
    </r>
  </si>
  <si>
    <r>
      <t>INDIRECT
CH</t>
    </r>
    <r>
      <rPr>
        <b/>
        <vertAlign val="subscript"/>
        <sz val="10"/>
        <rFont val="Arial"/>
        <family val="2"/>
      </rPr>
      <t>4</t>
    </r>
    <r>
      <rPr>
        <b/>
        <sz val="10"/>
        <rFont val="Arial"/>
        <family val="2"/>
      </rPr>
      <t xml:space="preserve"> emissions (metric tonnes)</t>
    </r>
  </si>
  <si>
    <r>
      <t>INDIRECT
N</t>
    </r>
    <r>
      <rPr>
        <b/>
        <vertAlign val="subscript"/>
        <sz val="10"/>
        <rFont val="Arial"/>
        <family val="2"/>
      </rPr>
      <t>2</t>
    </r>
    <r>
      <rPr>
        <b/>
        <sz val="10"/>
        <rFont val="Arial"/>
        <family val="2"/>
      </rPr>
      <t>O emissions (metric tonnes)</t>
    </r>
  </si>
  <si>
    <t>E = (1-A1) × A2 × B / 1000</t>
  </si>
  <si>
    <t>F = (1-A1) × A2 × C / 1000</t>
  </si>
  <si>
    <t>E = (1-A1) × A2 × D / 1000</t>
  </si>
  <si>
    <t>Fuel Combustion in mobile devices such as harvesting equipment</t>
  </si>
  <si>
    <t>Metric tonnes  CO2</t>
  </si>
  <si>
    <t>GJ LHV/unit</t>
  </si>
  <si>
    <t>kg CO2/GJ LHV</t>
  </si>
  <si>
    <t>Grand Total of all Mobil and Transportation Emissions (sum of results from Parts 1 and 2):</t>
  </si>
  <si>
    <r>
      <t>Use methods outlined in "Direct - Fuel Combust."
Each GHG must be allocated individually (e.g., use a separate row for CO</t>
    </r>
    <r>
      <rPr>
        <vertAlign val="subscript"/>
        <sz val="10"/>
        <rFont val="Arial"/>
        <family val="2"/>
      </rPr>
      <t>2</t>
    </r>
    <r>
      <rPr>
        <sz val="10"/>
        <rFont val="Arial"/>
        <family val="0"/>
      </rPr>
      <t>, for CH</t>
    </r>
    <r>
      <rPr>
        <vertAlign val="subscript"/>
        <sz val="10"/>
        <rFont val="Arial"/>
        <family val="2"/>
      </rPr>
      <t>4</t>
    </r>
    <r>
      <rPr>
        <sz val="10"/>
        <rFont val="Arial"/>
        <family val="0"/>
      </rPr>
      <t>, and for N</t>
    </r>
    <r>
      <rPr>
        <vertAlign val="subscript"/>
        <sz val="10"/>
        <rFont val="Arial"/>
        <family val="2"/>
      </rPr>
      <t>2</t>
    </r>
    <r>
      <rPr>
        <sz val="10"/>
        <rFont val="Arial"/>
        <family val="0"/>
      </rPr>
      <t>O)</t>
    </r>
  </si>
  <si>
    <t>metric tonnes GHG</t>
  </si>
  <si>
    <t>kg GHG / energy unit in D</t>
  </si>
  <si>
    <r>
      <t>CH</t>
    </r>
    <r>
      <rPr>
        <vertAlign val="subscript"/>
        <sz val="10"/>
        <rFont val="Arial"/>
        <family val="2"/>
      </rPr>
      <t>4</t>
    </r>
    <r>
      <rPr>
        <sz val="10"/>
        <rFont val="Arial"/>
        <family val="0"/>
      </rPr>
      <t xml:space="preserve"> emission factor for imported electricity or steam*</t>
    </r>
  </si>
  <si>
    <r>
      <t>kg CH</t>
    </r>
    <r>
      <rPr>
        <vertAlign val="subscript"/>
        <sz val="10"/>
        <rFont val="Arial"/>
        <family val="2"/>
      </rPr>
      <t>4</t>
    </r>
    <r>
      <rPr>
        <sz val="10"/>
        <rFont val="Arial"/>
        <family val="0"/>
      </rPr>
      <t xml:space="preserve"> / MWh</t>
    </r>
  </si>
  <si>
    <r>
      <t>N</t>
    </r>
    <r>
      <rPr>
        <vertAlign val="subscript"/>
        <sz val="10"/>
        <rFont val="Arial"/>
        <family val="2"/>
      </rPr>
      <t>2</t>
    </r>
    <r>
      <rPr>
        <sz val="10"/>
        <rFont val="Arial"/>
        <family val="0"/>
      </rPr>
      <t>O emission factor for imported electricity or steam*</t>
    </r>
  </si>
  <si>
    <r>
      <t>kg N</t>
    </r>
    <r>
      <rPr>
        <vertAlign val="subscript"/>
        <sz val="10"/>
        <rFont val="Arial"/>
        <family val="2"/>
      </rPr>
      <t>2</t>
    </r>
    <r>
      <rPr>
        <sz val="10"/>
        <rFont val="Arial"/>
        <family val="0"/>
      </rPr>
      <t>O / MWh</t>
    </r>
  </si>
  <si>
    <r>
      <t>Indirect CO</t>
    </r>
    <r>
      <rPr>
        <vertAlign val="subscript"/>
        <sz val="10"/>
        <rFont val="Arial"/>
        <family val="2"/>
      </rPr>
      <t>2</t>
    </r>
    <r>
      <rPr>
        <sz val="10"/>
        <rFont val="Arial"/>
        <family val="0"/>
      </rPr>
      <t xml:space="preserve"> emissions in metric tonnes</t>
    </r>
  </si>
  <si>
    <r>
      <t>Indirect CH</t>
    </r>
    <r>
      <rPr>
        <vertAlign val="subscript"/>
        <sz val="10"/>
        <rFont val="Arial"/>
        <family val="2"/>
      </rPr>
      <t>4</t>
    </r>
    <r>
      <rPr>
        <sz val="10"/>
        <rFont val="Arial"/>
        <family val="0"/>
      </rPr>
      <t xml:space="preserve"> emissions in metric tonnes</t>
    </r>
  </si>
  <si>
    <r>
      <t xml:space="preserve"> metric tons CH</t>
    </r>
    <r>
      <rPr>
        <vertAlign val="subscript"/>
        <sz val="10"/>
        <rFont val="Arial"/>
        <family val="2"/>
      </rPr>
      <t>4</t>
    </r>
  </si>
  <si>
    <r>
      <t>Indirect N</t>
    </r>
    <r>
      <rPr>
        <vertAlign val="subscript"/>
        <sz val="10"/>
        <rFont val="Arial"/>
        <family val="2"/>
      </rPr>
      <t>2</t>
    </r>
    <r>
      <rPr>
        <sz val="10"/>
        <rFont val="Arial"/>
        <family val="0"/>
      </rPr>
      <t>O emissions in metric tonnes</t>
    </r>
  </si>
  <si>
    <r>
      <t xml:space="preserve"> metric tons N</t>
    </r>
    <r>
      <rPr>
        <vertAlign val="subscript"/>
        <sz val="10"/>
        <rFont val="Arial"/>
        <family val="2"/>
      </rPr>
      <t>2</t>
    </r>
    <r>
      <rPr>
        <sz val="10"/>
        <rFont val="Arial"/>
        <family val="0"/>
      </rPr>
      <t>O</t>
    </r>
  </si>
  <si>
    <t>Explain source or basis of emission factors for estimating emissions from imported electricity or steam</t>
  </si>
  <si>
    <t>Step 4: Sum GHG emissions:</t>
  </si>
  <si>
    <r>
      <t>metric tonnes CO</t>
    </r>
    <r>
      <rPr>
        <vertAlign val="subscript"/>
        <sz val="10"/>
        <rFont val="Arial"/>
        <family val="2"/>
      </rPr>
      <t>2</t>
    </r>
    <r>
      <rPr>
        <sz val="10"/>
        <rFont val="Arial"/>
        <family val="0"/>
      </rPr>
      <t xml:space="preserve"> equiv. / MWh</t>
    </r>
  </si>
  <si>
    <r>
      <t>metric tonnes CO</t>
    </r>
    <r>
      <rPr>
        <vertAlign val="subscript"/>
        <sz val="10"/>
        <rFont val="Arial"/>
        <family val="2"/>
      </rPr>
      <t xml:space="preserve">2 </t>
    </r>
    <r>
      <rPr>
        <sz val="10"/>
        <rFont val="Arial"/>
        <family val="0"/>
      </rPr>
      <t>equiv / MWh</t>
    </r>
  </si>
  <si>
    <r>
      <t>metric tonnes CO</t>
    </r>
    <r>
      <rPr>
        <vertAlign val="subscript"/>
        <sz val="10"/>
        <rFont val="Arial"/>
        <family val="2"/>
      </rPr>
      <t>2</t>
    </r>
  </si>
  <si>
    <r>
      <t>Total direct CH</t>
    </r>
    <r>
      <rPr>
        <vertAlign val="subscript"/>
        <sz val="10"/>
        <rFont val="Arial"/>
        <family val="2"/>
      </rPr>
      <t>4</t>
    </r>
    <r>
      <rPr>
        <sz val="10"/>
        <rFont val="Arial"/>
        <family val="0"/>
      </rPr>
      <t xml:space="preserve"> emissions from generating the total electricity/steam</t>
    </r>
  </si>
  <si>
    <r>
      <t>metric tonnes CH</t>
    </r>
    <r>
      <rPr>
        <vertAlign val="subscript"/>
        <sz val="10"/>
        <rFont val="Arial"/>
        <family val="2"/>
      </rPr>
      <t>4</t>
    </r>
  </si>
  <si>
    <r>
      <t>Total direct N</t>
    </r>
    <r>
      <rPr>
        <vertAlign val="subscript"/>
        <sz val="10"/>
        <rFont val="Arial"/>
        <family val="2"/>
      </rPr>
      <t>2</t>
    </r>
    <r>
      <rPr>
        <sz val="10"/>
        <rFont val="Arial"/>
        <family val="0"/>
      </rPr>
      <t>O emissions from generating the total electricity/steam</t>
    </r>
  </si>
  <si>
    <r>
      <t>metric tonnes N</t>
    </r>
    <r>
      <rPr>
        <vertAlign val="subscript"/>
        <sz val="10"/>
        <rFont val="Arial"/>
        <family val="2"/>
      </rPr>
      <t>2</t>
    </r>
    <r>
      <rPr>
        <sz val="10"/>
        <rFont val="Arial"/>
        <family val="0"/>
      </rPr>
      <t>O</t>
    </r>
  </si>
  <si>
    <r>
      <t>Indirect CH</t>
    </r>
    <r>
      <rPr>
        <vertAlign val="subscript"/>
        <sz val="10"/>
        <rFont val="Arial"/>
        <family val="2"/>
      </rPr>
      <t>4</t>
    </r>
    <r>
      <rPr>
        <sz val="10"/>
        <rFont val="Arial"/>
        <family val="0"/>
      </rPr>
      <t xml:space="preserve"> emissions impact related to exported power or steam</t>
    </r>
  </si>
  <si>
    <r>
      <t>Indirect N</t>
    </r>
    <r>
      <rPr>
        <vertAlign val="subscript"/>
        <sz val="10"/>
        <rFont val="Arial"/>
        <family val="2"/>
      </rPr>
      <t>2</t>
    </r>
    <r>
      <rPr>
        <sz val="10"/>
        <rFont val="Arial"/>
        <family val="0"/>
      </rPr>
      <t>O emissions impact related to exported power or steam</t>
    </r>
  </si>
  <si>
    <t>F = B * E / A</t>
  </si>
  <si>
    <t>G = C * E / A</t>
  </si>
  <si>
    <t>H = D * E / A</t>
  </si>
  <si>
    <t>Direct emissions from stationary fuel combustion</t>
  </si>
  <si>
    <t>Direct emissions attributable to exports of steam and power (a subset of direct emissions from stationary combustion)</t>
  </si>
  <si>
    <t>Direct emissions from transportation and mobile sources</t>
  </si>
  <si>
    <t>Direct emissions from waste management</t>
  </si>
  <si>
    <t>Total direct emissions</t>
  </si>
  <si>
    <t>Indirect emissions from steam and power imports</t>
  </si>
  <si>
    <t>Indirect emissions from transportation and mobile sources</t>
  </si>
  <si>
    <t>Indirect emissions from waste management</t>
  </si>
  <si>
    <t>Total indirect emissions</t>
  </si>
  <si>
    <r>
      <t>CO</t>
    </r>
    <r>
      <rPr>
        <b/>
        <vertAlign val="subscript"/>
        <sz val="12"/>
        <rFont val="Arial"/>
        <family val="2"/>
      </rPr>
      <t xml:space="preserve">2
</t>
    </r>
    <r>
      <rPr>
        <b/>
        <sz val="12"/>
        <rFont val="Arial"/>
        <family val="2"/>
      </rPr>
      <t>(metric tonnes)</t>
    </r>
  </si>
  <si>
    <r>
      <t>CH</t>
    </r>
    <r>
      <rPr>
        <b/>
        <vertAlign val="subscript"/>
        <sz val="12"/>
        <rFont val="Arial"/>
        <family val="2"/>
      </rPr>
      <t xml:space="preserve">4
</t>
    </r>
    <r>
      <rPr>
        <b/>
        <sz val="12"/>
        <rFont val="Arial"/>
        <family val="2"/>
      </rPr>
      <t>(metric tonnes)</t>
    </r>
  </si>
  <si>
    <r>
      <t>N</t>
    </r>
    <r>
      <rPr>
        <b/>
        <vertAlign val="subscript"/>
        <sz val="12"/>
        <rFont val="Arial"/>
        <family val="2"/>
      </rPr>
      <t>2</t>
    </r>
    <r>
      <rPr>
        <b/>
        <sz val="12"/>
        <rFont val="Arial"/>
        <family val="2"/>
      </rPr>
      <t>O
(metric tonnes)</t>
    </r>
  </si>
  <si>
    <r>
      <t>CO</t>
    </r>
    <r>
      <rPr>
        <b/>
        <vertAlign val="subscript"/>
        <sz val="12"/>
        <rFont val="Arial"/>
        <family val="2"/>
      </rPr>
      <t>2</t>
    </r>
    <r>
      <rPr>
        <b/>
        <sz val="12"/>
        <rFont val="Arial"/>
        <family val="2"/>
      </rPr>
      <t>-equiv
(metric tonnes)</t>
    </r>
  </si>
  <si>
    <r>
      <t>CO</t>
    </r>
    <r>
      <rPr>
        <b/>
        <vertAlign val="subscript"/>
        <sz val="12"/>
        <rFont val="Arial"/>
        <family val="2"/>
      </rPr>
      <t>2</t>
    </r>
  </si>
  <si>
    <r>
      <t>CH</t>
    </r>
    <r>
      <rPr>
        <b/>
        <vertAlign val="subscript"/>
        <sz val="12"/>
        <rFont val="Arial"/>
        <family val="2"/>
      </rPr>
      <t>4</t>
    </r>
  </si>
  <si>
    <r>
      <t>N</t>
    </r>
    <r>
      <rPr>
        <b/>
        <vertAlign val="subscript"/>
        <sz val="12"/>
        <rFont val="Arial"/>
        <family val="2"/>
      </rPr>
      <t>2</t>
    </r>
    <r>
      <rPr>
        <b/>
        <sz val="12"/>
        <rFont val="Arial"/>
        <family val="2"/>
      </rPr>
      <t>O</t>
    </r>
  </si>
  <si>
    <r>
      <t>CO</t>
    </r>
    <r>
      <rPr>
        <b/>
        <vertAlign val="subscript"/>
        <sz val="12"/>
        <rFont val="Arial"/>
        <family val="2"/>
      </rPr>
      <t>2</t>
    </r>
    <r>
      <rPr>
        <b/>
        <sz val="12"/>
        <rFont val="Arial"/>
        <family val="2"/>
      </rPr>
      <t xml:space="preserve"> Equivalents</t>
    </r>
  </si>
  <si>
    <r>
      <t>Direct</t>
    </r>
    <r>
      <rPr>
        <sz val="10"/>
        <rFont val="Arial"/>
        <family val="0"/>
      </rPr>
      <t xml:space="preserve">
Methane emissions in metric tonnes</t>
    </r>
  </si>
  <si>
    <t>H1 = A1 * G</t>
  </si>
  <si>
    <r>
      <t>Indirect</t>
    </r>
    <r>
      <rPr>
        <sz val="10"/>
        <rFont val="Arial"/>
        <family val="0"/>
      </rPr>
      <t xml:space="preserve">
Methane emissions in metric tonnes</t>
    </r>
  </si>
  <si>
    <t>H2 = (1-A1) * G</t>
  </si>
  <si>
    <t>L1 = A1 * K</t>
  </si>
  <si>
    <t>L2 = (1-A1) * K</t>
  </si>
  <si>
    <t xml:space="preserve">Methane emissions in metric tonnes </t>
  </si>
  <si>
    <r>
      <t>Estimated Direct Emissions [metric tonnes CH</t>
    </r>
    <r>
      <rPr>
        <b/>
        <vertAlign val="subscript"/>
        <sz val="12"/>
        <rFont val="Arial"/>
        <family val="2"/>
      </rPr>
      <t>4</t>
    </r>
    <r>
      <rPr>
        <b/>
        <sz val="12"/>
        <rFont val="Arial"/>
        <family val="2"/>
      </rPr>
      <t>]:</t>
    </r>
  </si>
  <si>
    <r>
      <t>Estimated Indirect Emissions [metric tonnes CH</t>
    </r>
    <r>
      <rPr>
        <b/>
        <vertAlign val="subscript"/>
        <sz val="12"/>
        <rFont val="Arial"/>
        <family val="2"/>
      </rPr>
      <t>4</t>
    </r>
    <r>
      <rPr>
        <b/>
        <sz val="12"/>
        <rFont val="Arial"/>
        <family val="2"/>
      </rPr>
      <t>]:</t>
    </r>
  </si>
  <si>
    <t>G1 = A1 * F</t>
  </si>
  <si>
    <t xml:space="preserve">G2 = (1-A1) * F </t>
  </si>
  <si>
    <t>F1 = A1 * E</t>
  </si>
  <si>
    <t>F2 = (1-A1) * E</t>
  </si>
  <si>
    <t>Energy content</t>
  </si>
  <si>
    <t>Based on information in WRI/WBCSD Calculation tools</t>
  </si>
  <si>
    <t>Lower heating value</t>
  </si>
  <si>
    <t>( GJ HHV/liter ) if not otherwise mentioned</t>
  </si>
  <si>
    <t>( GJ LHV/liter ) if not otherwise mentioned</t>
  </si>
  <si>
    <t>( kg/liter ) if not otherwise mentioned</t>
  </si>
  <si>
    <t>Residual fuel oil No.4</t>
  </si>
  <si>
    <t>0.542 (liquid)</t>
  </si>
  <si>
    <t>0.0290 GJ / kg</t>
  </si>
  <si>
    <t>0.0276 GJ / kg</t>
  </si>
  <si>
    <t>0.0314 GJ / kg</t>
  </si>
  <si>
    <t>0.0298 GJ / kg</t>
  </si>
  <si>
    <r>
      <t>Sub Bituminous coal</t>
    </r>
    <r>
      <rPr>
        <sz val="10"/>
        <rFont val="Arial"/>
        <family val="0"/>
      </rPr>
      <t>‡</t>
    </r>
  </si>
  <si>
    <t>0.0203 GJ / kg</t>
  </si>
  <si>
    <t>0.0193 GJ / kg</t>
  </si>
  <si>
    <r>
      <t>Lignite</t>
    </r>
    <r>
      <rPr>
        <sz val="10"/>
        <rFont val="Arial"/>
        <family val="0"/>
      </rPr>
      <t>‡</t>
    </r>
  </si>
  <si>
    <t>0.0151 GJ / kg</t>
  </si>
  <si>
    <t>0.0143 GJ / kg</t>
  </si>
  <si>
    <t>0.580 (liquid)</t>
  </si>
  <si>
    <t>0.508 (liquid)</t>
  </si>
  <si>
    <t>0.0295 GJ / kg</t>
  </si>
  <si>
    <t>0.0280 GJ / kg</t>
  </si>
  <si>
    <t>Natural gas*</t>
  </si>
  <si>
    <t>Wood (40% H2O)**</t>
  </si>
  <si>
    <t>0.0115 GJ / kg</t>
  </si>
  <si>
    <t>0.0109 GJ / kg</t>
  </si>
  <si>
    <t>Wood (20% H2O)**</t>
  </si>
  <si>
    <t>0.0163 GJ / kg</t>
  </si>
  <si>
    <t>0.0155 GJ / kg</t>
  </si>
  <si>
    <t>Wood (15% H2O)**</t>
  </si>
  <si>
    <t>0.0175 GJ / kg</t>
  </si>
  <si>
    <t>0.0166 GJ / kg</t>
  </si>
  <si>
    <t>Wood (0% H2O)**</t>
  </si>
  <si>
    <t>0.0211 GJ / kg</t>
  </si>
  <si>
    <t>0.0200 GJ / kg</t>
  </si>
  <si>
    <t>** calculated based on LHV values contained in Revised 1996 IPCC Guidelines for National Greenhouse Gas Inventories:  Reference Manual Volume 3, Table 1-13; converted to HHV values based on the assumption that, for biomass fuels, LHV is 95% of HHV.</t>
  </si>
  <si>
    <r>
      <t>0.673 kg / m</t>
    </r>
    <r>
      <rPr>
        <vertAlign val="superscript"/>
        <sz val="10"/>
        <rFont val="Arial"/>
        <family val="2"/>
      </rPr>
      <t>3</t>
    </r>
  </si>
  <si>
    <r>
      <t>* Based on "standard conditions" of 60</t>
    </r>
    <r>
      <rPr>
        <vertAlign val="superscript"/>
        <sz val="10"/>
        <rFont val="Arial"/>
        <family val="2"/>
      </rPr>
      <t>o</t>
    </r>
    <r>
      <rPr>
        <sz val="10"/>
        <rFont val="Arial"/>
        <family val="2"/>
      </rPr>
      <t>F (15.6</t>
    </r>
    <r>
      <rPr>
        <vertAlign val="superscript"/>
        <sz val="10"/>
        <rFont val="Arial"/>
        <family val="2"/>
      </rPr>
      <t>o</t>
    </r>
    <r>
      <rPr>
        <sz val="10"/>
        <rFont val="Arial"/>
        <family val="2"/>
      </rPr>
      <t>C) and 1 atm pressure, per API</t>
    </r>
  </si>
  <si>
    <t>Lower heating values (LHV) were calculated from the higher heating values (HHV) contained in the API compendium based on the IPCC recommended relation:
For coals, oils and other liquid fuels, and biomass, energy in terms of LHV = energy in terms of HHV × 0.95
For gaseous fuels, energy in terms of LHV = energy in terms of HHV × 0.90</t>
  </si>
  <si>
    <r>
      <t>‡</t>
    </r>
    <r>
      <rPr>
        <sz val="10"/>
        <rFont val="Arial"/>
        <family val="2"/>
      </rPr>
      <t>Calculated from data in Instructions for Form EIA-1605b Voluntary Reporting of Greenhouse Gases, for Data Through 2002, US Department of Energy, Energy Information Administration, Form EIA-1605 (2003), OMB No. 1905-0194, Appendix B, Page 48, available on the internet at ftp://ftp.eia.doe.gov/pub/oiaf/1605/cdrom/pdf/1605INSTR02.pdf (31 October 2003)</t>
    </r>
  </si>
  <si>
    <t>Source (unless otherwise noted): American Petroleum Institute (API), Compendium of Greenhouse Gas Emissions Estimation Methodologies for the Oil &amp; Gas Industry, 2004.  Units converted to SI</t>
  </si>
  <si>
    <r>
      <t>0.038 GJ / m</t>
    </r>
    <r>
      <rPr>
        <vertAlign val="superscript"/>
        <sz val="10"/>
        <rFont val="Arial"/>
        <family val="2"/>
      </rPr>
      <t>3</t>
    </r>
  </si>
  <si>
    <r>
      <t>0.0342 GJ / m</t>
    </r>
    <r>
      <rPr>
        <vertAlign val="superscript"/>
        <sz val="10"/>
        <rFont val="Arial"/>
        <family val="2"/>
      </rPr>
      <t>3</t>
    </r>
  </si>
  <si>
    <t>Energy Content sheet</t>
  </si>
  <si>
    <t>Updated energy content information to reflect new data in API 2004.</t>
  </si>
  <si>
    <t>Converted to SI units</t>
  </si>
  <si>
    <t>Updated reference citations</t>
  </si>
  <si>
    <t>Mobile &amp; Transportation sheet</t>
  </si>
  <si>
    <t>Modified the list of emission factors to account for unburned carbon.  Modified the notes on this topic, within the same sheet.</t>
  </si>
  <si>
    <t>Deleted tables associated with the distance-based calculation approach</t>
  </si>
  <si>
    <t>Updated reference citations for the Part 1 emission factors</t>
  </si>
  <si>
    <t>Corrected erroneous CO2 emission factor for residual oil in the Part 1 emission factor table.</t>
  </si>
  <si>
    <t>Updated various electronic comment fields.</t>
  </si>
  <si>
    <t>Deleted section of "typical emission factors" from the Part 2 emission factor table (for off-road mobile sources)</t>
  </si>
  <si>
    <t>Deleted/updated energy content values within the Part 1 emission factor table that were inferred from unreferenced sources.  Added new data where available.  Modified the following values:
Part 1 emission factor table:
  energy content values for aviation gasoline, diesel, natural gas
  density values for gasoline, diesel, #4 oil, #5 oil, #6 oil, and natural gas
  various derived values
Part 1 calculation table:
  modified the "GJ/unit" column values, based on API data changes, for the following:
    diesel - all units
    natural gas - all units
    residual #6 - all units
    coal - bituminous - all units
    gasoline - metric tonnes only</t>
  </si>
  <si>
    <t>General changes to spreadsheet</t>
  </si>
  <si>
    <t>Added designation that this is version 1.2</t>
  </si>
  <si>
    <t>Changed the contact information from Reid Miner to Brad Upton</t>
  </si>
  <si>
    <t>Changed the name of the biomass combustion CO2 worksheet</t>
  </si>
  <si>
    <t>Direct - Fuel Combustion sheet</t>
  </si>
  <si>
    <t>Reconfigured the sheet to calculate emissions of each GHG separately</t>
  </si>
  <si>
    <t>Now requires fuel consumption input data in units of GJ LHV</t>
  </si>
  <si>
    <t>Now requires emission factors to be in units of kg GHG/GJ LHV</t>
  </si>
  <si>
    <t>Deleted table of "typical emission factors"</t>
  </si>
  <si>
    <t>Added notes column to the table of suggested default emission factors</t>
  </si>
  <si>
    <t>Added more detailed reference information to table of default emission factors</t>
  </si>
  <si>
    <t>Added footnote that natural gas CH4 and N2O emission factors are IPCC Tier 1 to table of emission factors for Part 2</t>
  </si>
  <si>
    <t>Updated Part 2 default emission factor table reference citations</t>
  </si>
  <si>
    <t>Modified the Part 2 calculation table to estimate emissions of each GHG separately</t>
  </si>
  <si>
    <t>CHP Allocation sheet</t>
  </si>
  <si>
    <t>Added descriptive text</t>
  </si>
  <si>
    <t>Indirect - Energy Imports sheet</t>
  </si>
  <si>
    <t>Modified the calculation table to estimate emissions of each GHG separately</t>
  </si>
  <si>
    <t>Indirect - Energy Exports sheet</t>
  </si>
  <si>
    <t>Summary Table sheet</t>
  </si>
  <si>
    <t>Modified to report emissions of each GHG separately</t>
  </si>
  <si>
    <t>An aid to developing estimates using the methods in "Calculation tools for estimating greenhouse gas emissions from pulp and paper mills," Report Version 1.2</t>
  </si>
  <si>
    <r>
      <t>Revisions in going from version 1.0 to version 1.2</t>
    </r>
    <r>
      <rPr>
        <sz val="10"/>
        <color indexed="10"/>
        <rFont val="Arial"/>
        <family val="2"/>
      </rPr>
      <t xml:space="preserve"> (version 1.1 was based on version 1.0 with a Visual Basic data entry interface)</t>
    </r>
  </si>
  <si>
    <t>Added designation that this is version 1.3</t>
  </si>
  <si>
    <r>
      <t>This tool intends to facilitate the calculation of direct CO</t>
    </r>
    <r>
      <rPr>
        <vertAlign val="subscript"/>
        <sz val="12"/>
        <rFont val="Arial"/>
        <family val="2"/>
      </rPr>
      <t>2</t>
    </r>
    <r>
      <rPr>
        <sz val="12"/>
        <rFont val="Arial"/>
        <family val="2"/>
      </rPr>
      <t>, CH</t>
    </r>
    <r>
      <rPr>
        <vertAlign val="subscript"/>
        <sz val="12"/>
        <rFont val="Arial"/>
        <family val="2"/>
      </rPr>
      <t>4</t>
    </r>
    <r>
      <rPr>
        <sz val="12"/>
        <rFont val="Arial"/>
        <family val="2"/>
      </rPr>
      <t>, and N</t>
    </r>
    <r>
      <rPr>
        <vertAlign val="subscript"/>
        <sz val="12"/>
        <rFont val="Arial"/>
        <family val="2"/>
      </rPr>
      <t>2</t>
    </r>
    <r>
      <rPr>
        <sz val="12"/>
        <rFont val="Arial"/>
        <family val="2"/>
      </rPr>
      <t xml:space="preserve">O emissions from pulp and paper mills and ancillary operations.  It also addresses emissions attributable to the purchase and export of electricity and/or steam. This document is to be used in conjunction with two additional documents:
1) 'Calculation tools for estimating Greenhouse Gas Emissions from pulp and paper mills, report version 1.2' and
2) ‘Corporate GHG Accounting and Reporting: Corporate Inventory Module’, available at www.ghgprotocol.org 
</t>
    </r>
  </si>
  <si>
    <t>Changed report references to report version 1.2</t>
  </si>
  <si>
    <t>Changed worksheet name from "Direct - Fuel Combustion" to "Direct - Stationary Combustion"</t>
  </si>
  <si>
    <t>Direct - Stationary Combustion sheet</t>
  </si>
  <si>
    <t>In table of default emission factors:</t>
  </si>
  <si>
    <t>No longer correct for unoxidized carbon</t>
  </si>
  <si>
    <t>Changed GWPs to 25 and 298 (from 21 and 310, for methane and nitrous oxide, respectively)</t>
  </si>
  <si>
    <t>Modified emission factors to bring into compliance with 2006 IPCC guidance</t>
  </si>
  <si>
    <t>Modified GWPs in main data entry and calculation table to 25 and 298 (from 21 and 310, for methane and nitrous oxide, respectively)</t>
  </si>
  <si>
    <t>Modified to reflect that emissions from some sources can be either direct or indirect (e.g., mobile, waste management)</t>
  </si>
  <si>
    <t>Waste Management sheet</t>
  </si>
  <si>
    <t>Modified to report emissions as methane rather than as carbon dioxide equivalents</t>
  </si>
  <si>
    <t>In Part 3 for landfills, modified equations in cells I58 through BE58, G56, and C66 through C115 in order to allow the user to estimate emissions from a landfill after the date at which material deposition in the landfill ceased.  Added landfill description (C52) and waste type (D52) cells.  Entered default values for L0 (E66 through E115) and for k (F66 through F115).</t>
  </si>
  <si>
    <t>Changed units for energy content of wood fuels from "GJ / ton" to "GJ / metric tonne"</t>
  </si>
  <si>
    <t>Formatted spreadsheet cells for word wrap so that all text will display during printing</t>
  </si>
  <si>
    <t>Biomass Combustion CO2 sheet</t>
  </si>
  <si>
    <t xml:space="preserve">Corrected an error in the emission factors for pulping liquor (the error was associated with the incorrect use of a conversion factor for carbon to CO2 of 42/12, rather than 44/12). </t>
  </si>
  <si>
    <t>Revision Log sheet</t>
  </si>
  <si>
    <t>Added a new worksheet containing descriptions of all significant revisions to the calculation tools spreadsheet.</t>
  </si>
  <si>
    <t>Corrected two errors in formulas for landfill method 3.  Formulas in row 62 should include a summing equation down to row 115 (originally was only down to 105).  Also corrected errors in formulas from row 85 and down, within the "triangular" area where the yearly emissions estimates are calculated.  Apparently a row was skipped when copying the formulas.</t>
  </si>
  <si>
    <t>Conversion Factors sheet</t>
  </si>
  <si>
    <t>Corrected erroneous value in cell F12 of the "Conversion Factors" worksheet (1.1205 corrected to 1.1023).</t>
  </si>
  <si>
    <t>Modify calculation tables to allow a line by line description of what fraction of the emissions are direct and indirect.</t>
  </si>
  <si>
    <t>Modify summary table by moving "emissions associated with exported power and steam" from the indirect emissions category to the "direct emissions from stationary fuel combustion" window.  This is needed because these are direct emissions and are included so they can be considered when looking at the magnitude of the total amount of direct emissions.</t>
  </si>
  <si>
    <t>Operations in Inventory sheet</t>
  </si>
  <si>
    <t>Modify table to eliminate ownership choices.  Have only an in-or-out of the inventory choice. This is necessary because users have been assuming that their ownership choices in this spreadsheet impact how the spreadsheet performs its calculations, but the information was included for transparency purposes only.</t>
  </si>
  <si>
    <t>Correct errors in the pressure conversion factors (mistakes originated in material copied from WRI/WBCSD tools).</t>
  </si>
  <si>
    <t>Revision Log</t>
  </si>
  <si>
    <t>Presents revisions made to the various versions of these calculation tools.</t>
  </si>
  <si>
    <t>Fuel specific energy content values, based both on higher heating and lower heating values</t>
  </si>
  <si>
    <t>GJ LHV/ US gallon</t>
  </si>
  <si>
    <t>GJ LHV/Imp gallon</t>
  </si>
  <si>
    <t>GJ LHV/tonne</t>
  </si>
  <si>
    <t>F1</t>
  </si>
  <si>
    <t>Unit used to measure quantitiy of fuel use
[Note: Be careful not to mix HHVs and LHVs.]</t>
  </si>
  <si>
    <t>This worksheet is for showing which operations are included in the inventory</t>
  </si>
  <si>
    <t>Place an "X" below where appropriate to indentify operations included in the inventory</t>
  </si>
  <si>
    <r>
      <t xml:space="preserve">Method 3 is applicable to landfills where the </t>
    </r>
    <r>
      <rPr>
        <b/>
        <sz val="12"/>
        <color indexed="10"/>
        <rFont val="Arial"/>
        <family val="2"/>
      </rPr>
      <t>amounts of waste deposited vary substantially from year-to-year</t>
    </r>
    <r>
      <rPr>
        <b/>
        <sz val="12"/>
        <rFont val="Arial"/>
        <family val="2"/>
      </rPr>
      <t xml:space="preserve"> 
and the </t>
    </r>
    <r>
      <rPr>
        <b/>
        <sz val="12"/>
        <color indexed="10"/>
        <rFont val="Arial"/>
        <family val="2"/>
      </rPr>
      <t>landfill design has changed in ways that would substantially alter landfill gas releases</t>
    </r>
    <r>
      <rPr>
        <b/>
        <sz val="12"/>
        <rFont val="Arial"/>
        <family val="2"/>
      </rPr>
      <t>.
This table for Method 3 can only estimate emissions from a single landfill.  If emissions from multiple landfills are to be estimated, 
make a separate copy of this Excel worksheet for each additional landfill to be considered.  In this case, the user will have to manually 
sum all landfill emission estimates and enter this value in the appropriate cell of the "Summary Table" worksheet.</t>
    </r>
  </si>
  <si>
    <t>F2</t>
  </si>
  <si>
    <t>H1 =A1xFxG/1000</t>
  </si>
  <si>
    <t>H2 =(1-A1)xFxG/1000</t>
  </si>
  <si>
    <t>Fraction Owned</t>
  </si>
  <si>
    <t>Emissions from Transportation and Mobile Equipment</t>
  </si>
  <si>
    <r>
      <t>Biomass Combustion CO</t>
    </r>
    <r>
      <rPr>
        <vertAlign val="subscript"/>
        <sz val="12"/>
        <rFont val="Arial"/>
        <family val="2"/>
      </rPr>
      <t>2</t>
    </r>
  </si>
  <si>
    <t>These spreadsheets were developed by NCASI for the Climate Change Working Group of the International Council of Forest and Paper Associations (ICFPA).  Questions or comments on this material can be directed to:
Brad Upton
NCASI
PO Box 458
Corvallis, OR, USA  97339
phone: + 541-752-8801
fax: + 541-752-8806
e-mail:  BUpton@ncasi.org</t>
  </si>
  <si>
    <t>Biomass Combustion CO2</t>
  </si>
  <si>
    <r>
      <t>CO</t>
    </r>
    <r>
      <rPr>
        <vertAlign val="subscript"/>
        <sz val="10"/>
        <rFont val="Arial"/>
        <family val="2"/>
      </rPr>
      <t>2</t>
    </r>
    <r>
      <rPr>
        <sz val="10"/>
        <rFont val="Arial"/>
        <family val="0"/>
      </rPr>
      <t xml:space="preserve"> emission factor
Suggested default emission factors shown below</t>
    </r>
  </si>
  <si>
    <r>
      <t>CH</t>
    </r>
    <r>
      <rPr>
        <vertAlign val="subscript"/>
        <sz val="10"/>
        <rFont val="Arial"/>
        <family val="2"/>
      </rPr>
      <t>4</t>
    </r>
    <r>
      <rPr>
        <sz val="10"/>
        <rFont val="Arial"/>
        <family val="0"/>
      </rPr>
      <t xml:space="preserve"> emission factor
Suggested default emission factors shown below</t>
    </r>
  </si>
  <si>
    <r>
      <t>N</t>
    </r>
    <r>
      <rPr>
        <vertAlign val="subscript"/>
        <sz val="10"/>
        <rFont val="Arial"/>
        <family val="2"/>
      </rPr>
      <t>2</t>
    </r>
    <r>
      <rPr>
        <sz val="10"/>
        <rFont val="Arial"/>
        <family val="0"/>
      </rPr>
      <t>O emission factor
Suggested default emission factors shown below</t>
    </r>
  </si>
  <si>
    <t>(GJ LHV)</t>
  </si>
  <si>
    <r>
      <t>(kg CO</t>
    </r>
    <r>
      <rPr>
        <vertAlign val="subscript"/>
        <sz val="10"/>
        <rFont val="Arial"/>
        <family val="2"/>
      </rPr>
      <t>2</t>
    </r>
    <r>
      <rPr>
        <sz val="10"/>
        <rFont val="Arial"/>
        <family val="0"/>
      </rPr>
      <t>/GJ LHV)</t>
    </r>
  </si>
  <si>
    <r>
      <t>(kg CH</t>
    </r>
    <r>
      <rPr>
        <vertAlign val="subscript"/>
        <sz val="10"/>
        <rFont val="Arial"/>
        <family val="2"/>
      </rPr>
      <t>4</t>
    </r>
    <r>
      <rPr>
        <sz val="10"/>
        <rFont val="Arial"/>
        <family val="0"/>
      </rPr>
      <t>/GJ LHV)</t>
    </r>
  </si>
  <si>
    <r>
      <t>(kg N</t>
    </r>
    <r>
      <rPr>
        <vertAlign val="subscript"/>
        <sz val="10"/>
        <rFont val="Arial"/>
        <family val="2"/>
      </rPr>
      <t>2</t>
    </r>
    <r>
      <rPr>
        <sz val="10"/>
        <rFont val="Arial"/>
        <family val="0"/>
      </rPr>
      <t>O/GJ LHV)</t>
    </r>
  </si>
  <si>
    <r>
      <t>CO</t>
    </r>
    <r>
      <rPr>
        <vertAlign val="subscript"/>
        <sz val="10"/>
        <rFont val="Arial"/>
        <family val="2"/>
      </rPr>
      <t>2</t>
    </r>
    <r>
      <rPr>
        <sz val="10"/>
        <rFont val="Arial"/>
        <family val="0"/>
      </rPr>
      <t xml:space="preserve"> emissions in metric tonnes</t>
    </r>
  </si>
  <si>
    <r>
      <t>CH</t>
    </r>
    <r>
      <rPr>
        <vertAlign val="subscript"/>
        <sz val="10"/>
        <rFont val="Arial"/>
        <family val="2"/>
      </rPr>
      <t>4</t>
    </r>
    <r>
      <rPr>
        <sz val="10"/>
        <rFont val="Arial"/>
        <family val="0"/>
      </rPr>
      <t xml:space="preserve"> emissions in metric tonnes</t>
    </r>
  </si>
  <si>
    <r>
      <t>N</t>
    </r>
    <r>
      <rPr>
        <vertAlign val="subscript"/>
        <sz val="10"/>
        <rFont val="Arial"/>
        <family val="2"/>
      </rPr>
      <t>2</t>
    </r>
    <r>
      <rPr>
        <sz val="10"/>
        <rFont val="Arial"/>
        <family val="0"/>
      </rPr>
      <t>O emissions in metric tonnes</t>
    </r>
  </si>
  <si>
    <r>
      <t>Total emissions in terms of  CO</t>
    </r>
    <r>
      <rPr>
        <vertAlign val="subscript"/>
        <sz val="10"/>
        <rFont val="Arial"/>
        <family val="2"/>
      </rPr>
      <t>2</t>
    </r>
    <r>
      <rPr>
        <sz val="10"/>
        <rFont val="Arial"/>
        <family val="0"/>
      </rPr>
      <t xml:space="preserve"> equivalents 
(metric tons)</t>
    </r>
  </si>
  <si>
    <t>E = A * B / 1000</t>
  </si>
  <si>
    <t>F = A * C / 1000</t>
  </si>
  <si>
    <t>G = A * D / 1000</t>
  </si>
  <si>
    <t>N/A</t>
  </si>
  <si>
    <t>Suggested default emission factors are shown below</t>
  </si>
  <si>
    <t>Notes</t>
  </si>
  <si>
    <t>Other Sources:</t>
  </si>
  <si>
    <t>CH4 factor from NCASI 1981
N2O factor from IPCC discussion of formation requirements</t>
  </si>
  <si>
    <t>Should not be included in GHG inventory.
See "Biomass Combustion CO2" worksheet</t>
  </si>
  <si>
    <t>Mobile and Transportation sheet</t>
  </si>
  <si>
    <t>Part 1:</t>
  </si>
  <si>
    <t>Deleted 12 entries to table of factors for Part 1 that are associated with fuels not commomly used for transport by forest products industry facilities and for which IPCC does not provide emission factors</t>
  </si>
  <si>
    <t>Many pulp and paper mills generate more than half their energy needs from biomass fuels recovered from the industry’s waste and process streams.  The CO2 generated when biomass fuels are burned is not included in GHG emission totals.  The GHG Protocol, however, requires that biomass-derived CO2 be reported as additional information.  This is the approach generally prescribed for national inventories by the United Nations Framework Convention on Climate Change.</t>
  </si>
  <si>
    <t>Part I. Additional Information on Biomass Carbon Emissions from Combustion of Wood or Bark</t>
  </si>
  <si>
    <t>Part II. Additional Information on Biomass Carbon Emissions from Combustion of Spent Pulping Liquors</t>
  </si>
  <si>
    <r>
      <t>Note that because the emission factors for spent pulping liquors are based on the carbon content of the liquors (assuming a one-percent correction for unoxidized carbon), the liquor emission factor will include any carbon exiting with smelt from a recovery furnace.  Therefore, for kraft mills, the liquor emission factors estimate biomass carbon emissions from both the recovery furnace and from the lime kiln.
Companies have the option of estimating the amounts of biomass-derived CO</t>
    </r>
    <r>
      <rPr>
        <vertAlign val="subscript"/>
        <sz val="10"/>
        <rFont val="Arial"/>
        <family val="2"/>
      </rPr>
      <t>2</t>
    </r>
    <r>
      <rPr>
        <sz val="10"/>
        <rFont val="Arial"/>
        <family val="0"/>
      </rPr>
      <t xml:space="preserve"> that is exported rather than being returned to the atmosphere.  If the exports are from a lime kiln or calciner where fossil fuels are being used, as a general approximation the exports of biomass-derived CO2 will be twice the exports of fossil fuel-derived CO</t>
    </r>
    <r>
      <rPr>
        <vertAlign val="subscript"/>
        <sz val="10"/>
        <rFont val="Arial"/>
        <family val="2"/>
      </rPr>
      <t>2</t>
    </r>
    <r>
      <rPr>
        <sz val="10"/>
        <rFont val="Arial"/>
        <family val="0"/>
      </rPr>
      <t xml:space="preserve"> (see "CO</t>
    </r>
    <r>
      <rPr>
        <vertAlign val="subscript"/>
        <sz val="10"/>
        <rFont val="Arial"/>
        <family val="2"/>
      </rPr>
      <t>2</t>
    </r>
    <r>
      <rPr>
        <sz val="10"/>
        <rFont val="Arial"/>
        <family val="0"/>
      </rPr>
      <t xml:space="preserve"> Imports and Exports" worksheet).  Where exports consist of gases from a lime kiln or calciner that is burning only biomass fuels, all of the exports are biomass-derived CO</t>
    </r>
    <r>
      <rPr>
        <vertAlign val="subscript"/>
        <sz val="10"/>
        <rFont val="Arial"/>
        <family val="2"/>
      </rPr>
      <t>2</t>
    </r>
    <r>
      <rPr>
        <sz val="10"/>
        <rFont val="Arial"/>
        <family val="0"/>
      </rPr>
      <t>.</t>
    </r>
  </si>
  <si>
    <t xml:space="preserve">Estimated Biomass Emissions:
The information reported below on biomass emissions is being supplied:
 To ensure that readers understand the entity’s overall energy profile in terms of both greenhouse gas emissions, and non-greenhouse gas emissions, and
 To provide awareness and understanding of how biomass fuels are generated and used in the manufacture of pulp and paper.
Also, note that the information reported below is in conformance with the general greenhouse gas protocol designed by the World Resources Institute and the World Business Council for Sustainable Development.  Users of these calculation tools may elect to modify the format and type of information presented based on specific facility or company needs.
</t>
  </si>
  <si>
    <r>
      <t>Estimating CO</t>
    </r>
    <r>
      <rPr>
        <b/>
        <vertAlign val="subscript"/>
        <sz val="14"/>
        <color indexed="10"/>
        <rFont val="Arial"/>
        <family val="2"/>
      </rPr>
      <t xml:space="preserve">2 </t>
    </r>
    <r>
      <rPr>
        <b/>
        <sz val="14"/>
        <color indexed="10"/>
        <rFont val="Arial"/>
        <family val="2"/>
      </rPr>
      <t>Emissions from Biomass Combustion.</t>
    </r>
  </si>
  <si>
    <t>Additional Information on Biomass</t>
  </si>
  <si>
    <t>National Council for Air and Stream Improvement, Inc. (NCASI).  1981.  A study of the kraft process lime kiln total gaseous non-methane organic emissions.  Technical Bulletin No. 358.  Research Triangle Park, NC: National Council for Air and Stream Improvement, Inc.</t>
  </si>
  <si>
    <t>CH4 factor from NCASI 1981
N2O factor is IPCC Tier 1 for natural gas</t>
  </si>
  <si>
    <t>CH4 and N2O factors are IPCC Tier 1</t>
  </si>
  <si>
    <t xml:space="preserve">Peat </t>
  </si>
  <si>
    <t>National Council for Air and Stream Improvement, Inc. (NCASI).  2004.  Calculation Tools for Estimating Greenhouse Gas Emissions from Pulp and Paper Mills, Version 1.1.  Research Triangle Park, NC: National Council for Air and Stream Improvement, Inc.</t>
  </si>
  <si>
    <t>CH4 and N2O factors are median values determined from a data set originating from a variety of sources, see NCASI 2004.</t>
  </si>
  <si>
    <t>Direct</t>
  </si>
  <si>
    <t>Indirect</t>
  </si>
  <si>
    <t>1 metric tonne</t>
  </si>
  <si>
    <t>0.0004536 metric tonnes</t>
  </si>
  <si>
    <r>
      <t>1 metric tonne CH</t>
    </r>
    <r>
      <rPr>
        <vertAlign val="subscript"/>
        <sz val="12"/>
        <rFont val="Arial"/>
        <family val="2"/>
      </rPr>
      <t>4</t>
    </r>
  </si>
  <si>
    <r>
      <t>1metric  tonne N</t>
    </r>
    <r>
      <rPr>
        <vertAlign val="subscript"/>
        <sz val="12"/>
        <rFont val="Arial"/>
        <family val="2"/>
      </rPr>
      <t>2</t>
    </r>
    <r>
      <rPr>
        <sz val="12"/>
        <rFont val="Arial"/>
        <family val="2"/>
      </rPr>
      <t>O</t>
    </r>
  </si>
  <si>
    <t>1 metric tonne carbon</t>
  </si>
  <si>
    <r>
      <t>21 metric tonnes CO</t>
    </r>
    <r>
      <rPr>
        <vertAlign val="subscript"/>
        <sz val="12"/>
        <rFont val="Arial"/>
        <family val="2"/>
      </rPr>
      <t>2</t>
    </r>
    <r>
      <rPr>
        <sz val="12"/>
        <rFont val="Arial"/>
        <family val="2"/>
      </rPr>
      <t xml:space="preserve"> equivalent</t>
    </r>
  </si>
  <si>
    <r>
      <t>310 metric tonnes CO</t>
    </r>
    <r>
      <rPr>
        <vertAlign val="subscript"/>
        <sz val="12"/>
        <rFont val="Arial"/>
        <family val="2"/>
      </rPr>
      <t>2</t>
    </r>
    <r>
      <rPr>
        <sz val="12"/>
        <rFont val="Arial"/>
        <family val="2"/>
      </rPr>
      <t xml:space="preserve"> equivalent</t>
    </r>
  </si>
  <si>
    <r>
      <t>3.664 metric tonnes CO</t>
    </r>
    <r>
      <rPr>
        <vertAlign val="subscript"/>
        <sz val="12"/>
        <rFont val="Arial"/>
        <family val="2"/>
      </rPr>
      <t>2</t>
    </r>
  </si>
  <si>
    <t>0.06895 bar</t>
  </si>
  <si>
    <t>0.9807 bar</t>
  </si>
  <si>
    <t>1.01325 bar</t>
  </si>
  <si>
    <r>
      <t>User Agreement:</t>
    </r>
    <r>
      <rPr>
        <sz val="12"/>
        <rFont val="Arial"/>
        <family val="2"/>
      </rPr>
      <t xml:space="preserve">  By using the Spreadsheets and associated materials in any manner, the User agrees to the following terms of this agreement:</t>
    </r>
  </si>
  <si>
    <r>
      <t>Copyright:</t>
    </r>
    <r>
      <rPr>
        <sz val="12"/>
        <rFont val="Arial"/>
        <family val="2"/>
      </rPr>
      <t xml:space="preserve">  Portions of the spreadsheets and associated materials were developed by WRI, WBCSD or NCASI, are copyrighted, and are published here with the permission of those developers.  The User acknowledges these copyrights.  </t>
    </r>
  </si>
  <si>
    <t xml:space="preserve">1 </t>
  </si>
  <si>
    <t xml:space="preserve">2 </t>
  </si>
  <si>
    <t xml:space="preserve">3 </t>
  </si>
  <si>
    <r>
      <t>Acknowledgement:</t>
    </r>
    <r>
      <rPr>
        <sz val="12"/>
        <rFont val="Arial"/>
        <family val="2"/>
      </rPr>
      <t xml:space="preserve">  The User agrees to acknowledge WRI, WBCSD, ICFPA, and NCASI for their roles in developing the Spreadsheets whenever the User authors reports or publications based in whole or in part on the use of the Spreadsheets.  </t>
    </r>
  </si>
  <si>
    <r>
      <t>Disclaimer:</t>
    </r>
    <r>
      <rPr>
        <sz val="12"/>
        <rFont val="Arial"/>
        <family val="2"/>
      </rPr>
      <t xml:space="preserve"> These Spreadsheets and associated materials have been prepared with a high degree of expertise and professionalism, and it is believed that the Spreadsheets provide a useful and accurate approach for calculating greenhouse gas emissions.  However, the organizations involved in their development, including WRI, WBCSD, ICFPA and NCASI, collectively and individually, do not warrant these Spreadsheets for any purpose, nor do they make any representations regarding their fitness for any use or purpose whatsoever.  Each User agrees to decide if, when and how to use the Spreadsheets, and does so at his or her sole risk.  Under no circumstances shall WRI, WBCSD, ICFPA or NCASI be liable for any damages, including incidental, special or consequential damages, arising from the use of these Spreadsheets or an inability to use them.  </t>
    </r>
  </si>
  <si>
    <r>
      <t>Direct emissions of CO</t>
    </r>
    <r>
      <rPr>
        <vertAlign val="subscript"/>
        <sz val="12"/>
        <rFont val="Arial"/>
        <family val="2"/>
      </rPr>
      <t>2</t>
    </r>
    <r>
      <rPr>
        <sz val="12"/>
        <rFont val="Arial"/>
        <family val="2"/>
      </rPr>
      <t>, CH</t>
    </r>
    <r>
      <rPr>
        <vertAlign val="subscript"/>
        <sz val="12"/>
        <rFont val="Arial"/>
        <family val="2"/>
      </rPr>
      <t>4</t>
    </r>
    <r>
      <rPr>
        <sz val="12"/>
        <rFont val="Arial"/>
        <family val="2"/>
      </rPr>
      <t>, and N</t>
    </r>
    <r>
      <rPr>
        <vertAlign val="subscript"/>
        <sz val="12"/>
        <rFont val="Arial"/>
        <family val="2"/>
      </rPr>
      <t>2</t>
    </r>
    <r>
      <rPr>
        <sz val="12"/>
        <rFont val="Arial"/>
        <family val="2"/>
      </rPr>
      <t>O resulting from fuel combustion - includes default emission factors</t>
    </r>
  </si>
  <si>
    <r>
      <t>Emissions of CO</t>
    </r>
    <r>
      <rPr>
        <vertAlign val="subscript"/>
        <sz val="12"/>
        <rFont val="Arial"/>
        <family val="2"/>
      </rPr>
      <t>2</t>
    </r>
    <r>
      <rPr>
        <sz val="12"/>
        <rFont val="Arial"/>
        <family val="2"/>
      </rPr>
      <t>, CH</t>
    </r>
    <r>
      <rPr>
        <vertAlign val="subscript"/>
        <sz val="12"/>
        <rFont val="Arial"/>
        <family val="2"/>
      </rPr>
      <t>4</t>
    </r>
    <r>
      <rPr>
        <sz val="12"/>
        <rFont val="Arial"/>
        <family val="2"/>
      </rPr>
      <t>, and N</t>
    </r>
    <r>
      <rPr>
        <vertAlign val="subscript"/>
        <sz val="12"/>
        <rFont val="Arial"/>
        <family val="2"/>
      </rPr>
      <t>2</t>
    </r>
    <r>
      <rPr>
        <sz val="12"/>
        <rFont val="Arial"/>
        <family val="2"/>
      </rPr>
      <t>O from fuel combustion in mobile equipment and transportation devices</t>
    </r>
  </si>
  <si>
    <r>
      <t>Direct emissions of CO</t>
    </r>
    <r>
      <rPr>
        <vertAlign val="subscript"/>
        <sz val="12"/>
        <rFont val="Arial"/>
        <family val="2"/>
      </rPr>
      <t>2</t>
    </r>
    <r>
      <rPr>
        <sz val="12"/>
        <rFont val="Arial"/>
        <family val="2"/>
      </rPr>
      <t xml:space="preserve"> from make-up carbonates used in the pulp mill</t>
    </r>
  </si>
  <si>
    <t>Direct - Mobile &amp; Transportation</t>
  </si>
  <si>
    <r>
      <t>CO</t>
    </r>
    <r>
      <rPr>
        <vertAlign val="subscript"/>
        <sz val="12"/>
        <rFont val="Arial"/>
        <family val="2"/>
      </rPr>
      <t>2</t>
    </r>
    <r>
      <rPr>
        <sz val="12"/>
        <rFont val="Arial"/>
        <family val="2"/>
      </rPr>
      <t xml:space="preserve"> Imports and Exports</t>
    </r>
  </si>
  <si>
    <r>
      <t>CO</t>
    </r>
    <r>
      <rPr>
        <vertAlign val="subscript"/>
        <sz val="12"/>
        <rFont val="Arial"/>
        <family val="2"/>
      </rPr>
      <t>2</t>
    </r>
    <r>
      <rPr>
        <sz val="12"/>
        <rFont val="Arial"/>
        <family val="2"/>
      </rPr>
      <t xml:space="preserve"> emissions exported to precipitated calcium carbonate plants and CO</t>
    </r>
    <r>
      <rPr>
        <vertAlign val="subscript"/>
        <sz val="12"/>
        <rFont val="Arial"/>
        <family val="2"/>
      </rPr>
      <t>2</t>
    </r>
    <r>
      <rPr>
        <sz val="12"/>
        <rFont val="Arial"/>
        <family val="2"/>
      </rPr>
      <t xml:space="preserve"> imports (e.g. for neutralization)</t>
    </r>
  </si>
  <si>
    <t>GHG emission impacts associated with electricity and /or steam exports</t>
  </si>
  <si>
    <r>
      <t>Direct emissions of biomass CO</t>
    </r>
    <r>
      <rPr>
        <vertAlign val="subscript"/>
        <sz val="12"/>
        <rFont val="Arial"/>
        <family val="2"/>
      </rPr>
      <t>2</t>
    </r>
    <r>
      <rPr>
        <sz val="12"/>
        <rFont val="Arial"/>
        <family val="2"/>
      </rPr>
      <t xml:space="preserve"> for informational purposes only (do not include in GHG inventory)</t>
    </r>
  </si>
  <si>
    <t>Electricity and/or steam imports</t>
  </si>
  <si>
    <t>Natural gas (dry) - Int. Comb. Engine
2 - cycle lean burn</t>
  </si>
  <si>
    <t>Natural gas (dry) - Int. Comb. Engine
4 - cycle lean burn</t>
  </si>
  <si>
    <t>Natural gas (dry) - Int. Comb. Engine
4 - cycle rich burn</t>
  </si>
  <si>
    <t>EXPLANATION OF CELL COLOR SCHEME</t>
  </si>
  <si>
    <t>Example: Recovery Furnace</t>
  </si>
  <si>
    <t>GJ  (LHV)</t>
  </si>
  <si>
    <t>kg CO2 / GJ LHV</t>
  </si>
  <si>
    <t xml:space="preserve">Note:  </t>
  </si>
  <si>
    <t>Carbon intensity of power on the grid into which the export occurred
(applies to electricity only)</t>
  </si>
  <si>
    <t>Direct Emissions - Stationary Fuel Combustion</t>
  </si>
  <si>
    <t>Note: Emissions from stationary sources are reported on the "Direct-Fuel Combust." spreadsheet immediately in front of this spreadsheet</t>
  </si>
  <si>
    <t>Example &gt;&gt;&gt;</t>
  </si>
  <si>
    <r>
      <t>Step 5: Sum CO</t>
    </r>
    <r>
      <rPr>
        <b/>
        <vertAlign val="subscript"/>
        <sz val="10"/>
        <rFont val="Arial"/>
        <family val="2"/>
      </rPr>
      <t xml:space="preserve">2 </t>
    </r>
    <r>
      <rPr>
        <b/>
        <sz val="10"/>
        <rFont val="Arial"/>
        <family val="2"/>
      </rPr>
      <t>emissions impacts related to exported power or steam:</t>
    </r>
  </si>
  <si>
    <t>Based on LHV - normally LHV assumed to be 95% of HHV for biomass fuels</t>
  </si>
  <si>
    <t>Direct Emission Impacts</t>
  </si>
  <si>
    <t>Indirect Emission Impacts</t>
  </si>
  <si>
    <t>Imports and Exports of Greenhouse Gases</t>
  </si>
  <si>
    <r>
      <t xml:space="preserve">Total </t>
    </r>
    <r>
      <rPr>
        <b/>
        <sz val="10"/>
        <color indexed="9"/>
        <rFont val="Arial"/>
        <family val="2"/>
      </rPr>
      <t xml:space="preserve">emissions from mobile equipment: </t>
    </r>
  </si>
  <si>
    <t>Total transportation emissons based on fuel use &gt;&gt;&gt;</t>
  </si>
  <si>
    <r>
      <t xml:space="preserve">This worksheet can be used to calculate emissions from mobile combustion sources, including transportation.
The worksheet contains three parts:
    Part 1 is used to calculate transportation emissions </t>
    </r>
    <r>
      <rPr>
        <b/>
        <sz val="10"/>
        <color indexed="10"/>
        <rFont val="Arial"/>
        <family val="2"/>
      </rPr>
      <t>based on quantity of fuels consumed.</t>
    </r>
    <r>
      <rPr>
        <b/>
        <sz val="10"/>
        <rFont val="Arial"/>
        <family val="2"/>
      </rPr>
      <t xml:space="preserve">
    Part 2 is used to calculate transportation emissions </t>
    </r>
    <r>
      <rPr>
        <b/>
        <sz val="10"/>
        <color indexed="10"/>
        <rFont val="Arial"/>
        <family val="2"/>
      </rPr>
      <t>based on distance traveled</t>
    </r>
    <r>
      <rPr>
        <b/>
        <sz val="10"/>
        <rFont val="Arial"/>
        <family val="2"/>
      </rPr>
      <t xml:space="preserve">.
    Part 3 is used to calculate emissions from </t>
    </r>
    <r>
      <rPr>
        <b/>
        <sz val="10"/>
        <color indexed="10"/>
        <rFont val="Arial"/>
        <family val="2"/>
      </rPr>
      <t>non-transportation mobile sources such as harvesting equipment</t>
    </r>
    <r>
      <rPr>
        <b/>
        <sz val="10"/>
        <rFont val="Arial"/>
        <family val="2"/>
      </rPr>
      <t xml:space="preserve">
WRI/WBCSD recommends the following approach. - For transportation emissions, because the data on fuel are generally more reliable, the estimation methods incorporated into Part 1 are preferred over those in Part 2 (distance-based).  Part 2 (the distance-based approach) should only be used as a last resort as it can introduce considerably higher levels of uncertainty in the CO2 estimates.
</t>
    </r>
    <r>
      <rPr>
        <b/>
        <sz val="16"/>
        <color indexed="10"/>
        <rFont val="Arial"/>
        <family val="2"/>
      </rPr>
      <t>Be careful to avoid double counting!</t>
    </r>
    <r>
      <rPr>
        <b/>
        <sz val="16"/>
        <rFont val="Arial"/>
        <family val="2"/>
      </rPr>
      <t xml:space="preserve">  </t>
    </r>
    <r>
      <rPr>
        <b/>
        <sz val="10"/>
        <rFont val="Arial"/>
        <family val="2"/>
      </rPr>
      <t>If transportation emissions for a fleet are estimated using Part 1, do not also estimate emissions for this same fleet using Part 2.
Do not include any combustion sources on this page that were already addressed in the "Direct - Fuel Combust." sheet.</t>
    </r>
  </si>
  <si>
    <t>Note: Do not double count emissions by estimating the same fuel consumption by two different methods above.</t>
  </si>
  <si>
    <t>&lt;&lt;&lt; enter this value</t>
  </si>
  <si>
    <t>&lt;&lt;&lt; enter one of these</t>
  </si>
  <si>
    <t>&lt;&lt;&lt; calculated</t>
  </si>
  <si>
    <r>
      <t>Fossil CO</t>
    </r>
    <r>
      <rPr>
        <vertAlign val="subscript"/>
        <sz val="12"/>
        <rFont val="Arial"/>
        <family val="2"/>
      </rPr>
      <t>2</t>
    </r>
    <r>
      <rPr>
        <sz val="12"/>
        <rFont val="Arial"/>
        <family val="2"/>
      </rPr>
      <t xml:space="preserve"> Imports to Mill
[ metric tons CO</t>
    </r>
    <r>
      <rPr>
        <vertAlign val="subscript"/>
        <sz val="12"/>
        <rFont val="Arial"/>
        <family val="2"/>
      </rPr>
      <t xml:space="preserve">2 </t>
    </r>
    <r>
      <rPr>
        <sz val="12"/>
        <rFont val="Arial"/>
        <family val="2"/>
      </rPr>
      <t>-equiv. / year ]</t>
    </r>
  </si>
  <si>
    <r>
      <t>Fossil CO</t>
    </r>
    <r>
      <rPr>
        <vertAlign val="subscript"/>
        <sz val="12"/>
        <rFont val="Arial"/>
        <family val="2"/>
      </rPr>
      <t>2</t>
    </r>
    <r>
      <rPr>
        <sz val="12"/>
        <rFont val="Arial"/>
        <family val="2"/>
      </rPr>
      <t xml:space="preserve"> Exports to PCC Plants
[ metric tons CO</t>
    </r>
    <r>
      <rPr>
        <vertAlign val="subscript"/>
        <sz val="12"/>
        <rFont val="Arial"/>
        <family val="2"/>
      </rPr>
      <t xml:space="preserve">2 </t>
    </r>
    <r>
      <rPr>
        <sz val="12"/>
        <rFont val="Arial"/>
        <family val="2"/>
      </rPr>
      <t>-equiv. / year ]</t>
    </r>
  </si>
  <si>
    <r>
      <t>Fossil CO</t>
    </r>
    <r>
      <rPr>
        <b/>
        <vertAlign val="subscript"/>
        <sz val="12"/>
        <rFont val="Arial"/>
        <family val="2"/>
      </rPr>
      <t>2</t>
    </r>
    <r>
      <rPr>
        <b/>
        <sz val="12"/>
        <rFont val="Arial"/>
        <family val="2"/>
      </rPr>
      <t xml:space="preserve"> imported to mill site (e.g. for neutralization)</t>
    </r>
  </si>
  <si>
    <r>
      <t>Total CO</t>
    </r>
    <r>
      <rPr>
        <vertAlign val="subscript"/>
        <sz val="10"/>
        <rFont val="Arial"/>
        <family val="2"/>
      </rPr>
      <t>2</t>
    </r>
    <r>
      <rPr>
        <sz val="10"/>
        <rFont val="Arial"/>
        <family val="0"/>
      </rPr>
      <t xml:space="preserve"> generated by burning fossil fuel in the combustion unit supplying the PCC plant
[metric tons CO</t>
    </r>
    <r>
      <rPr>
        <vertAlign val="subscript"/>
        <sz val="10"/>
        <rFont val="Arial"/>
        <family val="2"/>
      </rPr>
      <t>2</t>
    </r>
    <r>
      <rPr>
        <sz val="10"/>
        <rFont val="Arial"/>
        <family val="0"/>
      </rPr>
      <t xml:space="preserve"> per year]</t>
    </r>
  </si>
  <si>
    <r>
      <t>Fossil CO</t>
    </r>
    <r>
      <rPr>
        <vertAlign val="subscript"/>
        <sz val="10"/>
        <rFont val="Arial"/>
        <family val="2"/>
      </rPr>
      <t>2</t>
    </r>
    <r>
      <rPr>
        <sz val="10"/>
        <rFont val="Arial"/>
        <family val="0"/>
      </rPr>
      <t xml:space="preserve"> Exports to PCC plant
[metric tons CO</t>
    </r>
    <r>
      <rPr>
        <vertAlign val="subscript"/>
        <sz val="10"/>
        <rFont val="Arial"/>
        <family val="2"/>
      </rPr>
      <t>2</t>
    </r>
    <r>
      <rPr>
        <sz val="10"/>
        <rFont val="Arial"/>
        <family val="0"/>
      </rPr>
      <t xml:space="preserve"> per year]</t>
    </r>
  </si>
  <si>
    <r>
      <t>Total fossil CO</t>
    </r>
    <r>
      <rPr>
        <vertAlign val="subscript"/>
        <sz val="10"/>
        <rFont val="Arial"/>
        <family val="2"/>
      </rPr>
      <t>2</t>
    </r>
    <r>
      <rPr>
        <sz val="10"/>
        <rFont val="Arial"/>
        <family val="0"/>
      </rPr>
      <t xml:space="preserve"> imported to mill
[metric tons CO</t>
    </r>
    <r>
      <rPr>
        <vertAlign val="subscript"/>
        <sz val="10"/>
        <rFont val="Arial"/>
        <family val="2"/>
      </rPr>
      <t>2</t>
    </r>
    <r>
      <rPr>
        <sz val="10"/>
        <rFont val="Arial"/>
        <family val="0"/>
      </rPr>
      <t xml:space="preserve"> per year]</t>
    </r>
  </si>
  <si>
    <r>
      <t>Imports and Exports of Fossil CO</t>
    </r>
    <r>
      <rPr>
        <b/>
        <vertAlign val="subscript"/>
        <sz val="18"/>
        <color indexed="10"/>
        <rFont val="Arial"/>
        <family val="2"/>
      </rPr>
      <t>2</t>
    </r>
    <r>
      <rPr>
        <b/>
        <sz val="18"/>
        <color indexed="10"/>
        <rFont val="Arial"/>
        <family val="2"/>
      </rPr>
      <t xml:space="preserve"> , including exports to satellite precipitated calcium carbonate (PCC) plants</t>
    </r>
  </si>
  <si>
    <r>
      <t>Direct Emissions - Stationary Fuel Combustion</t>
    </r>
    <r>
      <rPr>
        <b/>
        <sz val="18"/>
        <rFont val="Arial"/>
        <family val="2"/>
      </rPr>
      <t xml:space="preserve">, </t>
    </r>
    <r>
      <rPr>
        <sz val="18"/>
        <rFont val="Arial"/>
        <family val="2"/>
      </rPr>
      <t>(including methane and nitrous oxide emissions from biomass fuels)</t>
    </r>
  </si>
  <si>
    <t>Emissions Associated with Exports of Electricity and Steam</t>
  </si>
  <si>
    <r>
      <t>Unit of CO</t>
    </r>
    <r>
      <rPr>
        <vertAlign val="subscript"/>
        <sz val="10"/>
        <rFont val="Arial"/>
        <family val="2"/>
      </rPr>
      <t>2</t>
    </r>
    <r>
      <rPr>
        <sz val="10"/>
        <rFont val="Arial"/>
        <family val="0"/>
      </rPr>
      <t xml:space="preserve"> emission factor</t>
    </r>
  </si>
  <si>
    <r>
      <t>CO</t>
    </r>
    <r>
      <rPr>
        <vertAlign val="subscript"/>
        <sz val="10"/>
        <rFont val="Arial"/>
        <family val="2"/>
      </rPr>
      <t>2</t>
    </r>
    <r>
      <rPr>
        <sz val="10"/>
        <rFont val="Arial"/>
        <family val="0"/>
      </rPr>
      <t xml:space="preserve"> emissions in kg CO2/yr </t>
    </r>
  </si>
  <si>
    <r>
      <t>Note:</t>
    </r>
    <r>
      <rPr>
        <b/>
        <sz val="11"/>
        <rFont val="Arial"/>
        <family val="2"/>
      </rPr>
      <t xml:space="preserve"> The emissions and indirect emissions impacts related to electricity and steam </t>
    </r>
    <r>
      <rPr>
        <b/>
        <sz val="11"/>
        <color indexed="10"/>
        <rFont val="Arial"/>
        <family val="2"/>
      </rPr>
      <t>exports</t>
    </r>
    <r>
      <rPr>
        <b/>
        <sz val="11"/>
        <rFont val="Arial"/>
        <family val="2"/>
      </rPr>
      <t xml:space="preserve"> </t>
    </r>
  </si>
  <si>
    <r>
      <t>Indirect CO</t>
    </r>
    <r>
      <rPr>
        <vertAlign val="subscript"/>
        <sz val="10"/>
        <rFont val="Arial"/>
        <family val="2"/>
      </rPr>
      <t>2</t>
    </r>
    <r>
      <rPr>
        <sz val="10"/>
        <rFont val="Arial"/>
        <family val="0"/>
      </rPr>
      <t xml:space="preserve"> emissions impact related to exported power or steam</t>
    </r>
  </si>
  <si>
    <t>Carbon intensity of exported power or steam</t>
  </si>
  <si>
    <r>
      <t xml:space="preserve">Simplified Efficiency Method: 
</t>
    </r>
    <r>
      <rPr>
        <b/>
        <sz val="10"/>
        <color indexed="10"/>
        <rFont val="Arial"/>
        <family val="2"/>
      </rPr>
      <t>Allocation based on assumed efficiencies for both steam and power production and total CHP emissions</t>
    </r>
  </si>
  <si>
    <t xml:space="preserve">Use this space to provide additional information helpful to understanding how emissions from partial ownership situations are allocated. </t>
  </si>
  <si>
    <t>GHG emissions resulting from electricity and /or steam imports</t>
  </si>
  <si>
    <t>CHP allocation</t>
  </si>
  <si>
    <t>Allocation emissions from combined heat and power systems</t>
  </si>
  <si>
    <t>Describing the inventory boundaries and listing the operations included in the inventory</t>
  </si>
  <si>
    <t>Combined heat and power:  
Allocating emissions based on the efficiency of heat and power production</t>
  </si>
  <si>
    <t>Indirect Emissions</t>
  </si>
  <si>
    <t>Operations in the Inventory</t>
  </si>
  <si>
    <t>Indirect Emissions from electricity and steam imports</t>
  </si>
  <si>
    <r>
      <t xml:space="preserve">should be reported separately from indirect emissions from </t>
    </r>
    <r>
      <rPr>
        <b/>
        <sz val="11"/>
        <color indexed="10"/>
        <rFont val="Arial"/>
        <family val="2"/>
      </rPr>
      <t>imported</t>
    </r>
    <r>
      <rPr>
        <b/>
        <sz val="11"/>
        <rFont val="Arial"/>
        <family val="2"/>
      </rPr>
      <t xml:space="preserve"> power or steam</t>
    </r>
  </si>
  <si>
    <t>Note:  If a facility is using all of the energy outputs of a CHP system, there is no need to allocate the emissions.</t>
  </si>
  <si>
    <t>Note: Scroll down the page to find the spreadsheet for anaerobic treatment systems</t>
  </si>
  <si>
    <t>These spreadsheets include significant amounts of material copied from other WRI and WBCSD calculation tools. 
 Intellectual property rights of the WRI and WBCSD calculation tools belong to WRI and WBCSD, unless stated otherwise.</t>
  </si>
  <si>
    <t>NOTE: If the gas collection system is highly efficient and all gas is burned, the direct GHG emissions can be assumed to be zero.</t>
  </si>
  <si>
    <t>Efficiency of gas collection system
[default = 1.0]</t>
  </si>
  <si>
    <t>F = E * [ 0.72 kg / standard cubic meter ] / 1000</t>
  </si>
  <si>
    <t>E=((A/B)*(1-B)*D)+(A*D*(1-C))</t>
  </si>
  <si>
    <t>Example: System A</t>
  </si>
  <si>
    <t>Anaerobic treatment system</t>
  </si>
  <si>
    <t xml:space="preserve">Step 3: Sum mill landfill methane emissions from Method 2: </t>
  </si>
  <si>
    <t xml:space="preserve">Step 2: Sum mill landfill methane emissions from Method 1: </t>
  </si>
  <si>
    <t xml:space="preserve">Step 2: Sum anaerobic wastewater or sludge treatment methane emissions from Method 1: </t>
  </si>
  <si>
    <t>Example: System B</t>
  </si>
  <si>
    <t>Amount of organic matter sent to treatment per year
[kg BOD or COD per year]</t>
  </si>
  <si>
    <t xml:space="preserve">Method 3 - For landfills that cannot use Methods 1 or 2.  </t>
  </si>
  <si>
    <t>Year Emissions Estimated</t>
  </si>
  <si>
    <t>Methane emission factor
[default for mill wastes = 0.25 kg methane per kg COD in the feed or
0.60 kg methane per kg BOD in the feed.
Units must match column A]</t>
  </si>
  <si>
    <t>Amount of methane captured and burned
[kg methane / yr]</t>
  </si>
  <si>
    <t>Quantity of methane released
[kg methane / yr]</t>
  </si>
  <si>
    <t>E = D / 1000</t>
  </si>
  <si>
    <t xml:space="preserve">Step 2: Sum anaerobic wastewater or sludge treatment methane emissions from Method 2: </t>
  </si>
  <si>
    <t>Emission Factors for Road Transportation Sources</t>
  </si>
  <si>
    <t xml:space="preserve"> GJ LHV/ litre (API 2004)</t>
  </si>
  <si>
    <t xml:space="preserve"> American Petroleum Institute (API).  2004. Compendium of Greenhouse Gas Emissions Estimation Methodologies for the Oil &amp; Gas Industry</t>
  </si>
  <si>
    <t>Typical density (API 2004)</t>
  </si>
  <si>
    <r>
      <t xml:space="preserve">kg CH4 / GJ fuel 
</t>
    </r>
    <r>
      <rPr>
        <sz val="10"/>
        <color indexed="10"/>
        <rFont val="Arial"/>
        <family val="2"/>
      </rPr>
      <t>[based on lower heating value, net calorific value]</t>
    </r>
  </si>
  <si>
    <r>
      <t xml:space="preserve">kg N2O / GJ fuel 
</t>
    </r>
    <r>
      <rPr>
        <sz val="10"/>
        <color indexed="10"/>
        <rFont val="Arial"/>
        <family val="2"/>
      </rPr>
      <t>[based on lower heating value, net calorific value]</t>
    </r>
  </si>
  <si>
    <t xml:space="preserve">0.0342 GJ / </t>
  </si>
  <si>
    <r>
      <t>0.042 lb/ft</t>
    </r>
    <r>
      <rPr>
        <vertAlign val="superscript"/>
        <sz val="10"/>
        <rFont val="Arial"/>
        <family val="2"/>
      </rPr>
      <t>3</t>
    </r>
  </si>
  <si>
    <t>Residual #6</t>
  </si>
  <si>
    <t>Coal - Bituminous</t>
  </si>
  <si>
    <t>Barrels (42 gallon)</t>
  </si>
  <si>
    <t xml:space="preserve">Sum anaerobic wastewater or sludge treatment methane emissions from Methods 1 and 2: </t>
  </si>
  <si>
    <t>Sum of emissions from landfills &gt;&gt;</t>
  </si>
  <si>
    <t>Sum of emissions from anaerobic wastewater treatment and sludge digestion systems &gt;&gt;</t>
  </si>
  <si>
    <r>
      <t xml:space="preserve">Method 1 - For anaerobic wastewater treatment and sludge digestion systems </t>
    </r>
    <r>
      <rPr>
        <b/>
        <sz val="12"/>
        <color indexed="10"/>
        <rFont val="Arial"/>
        <family val="2"/>
      </rPr>
      <t>where gas is collected</t>
    </r>
  </si>
  <si>
    <r>
      <t xml:space="preserve">Method 2 is applicable to landfills where the </t>
    </r>
    <r>
      <rPr>
        <b/>
        <sz val="12"/>
        <color indexed="10"/>
        <rFont val="Arial"/>
        <family val="2"/>
      </rPr>
      <t>amounts of waste deposited are reasonably constant from year-to-year</t>
    </r>
    <r>
      <rPr>
        <b/>
        <sz val="12"/>
        <rFont val="Arial"/>
        <family val="2"/>
      </rPr>
      <t xml:space="preserve"> 
and the </t>
    </r>
    <r>
      <rPr>
        <b/>
        <sz val="12"/>
        <color indexed="10"/>
        <rFont val="Arial"/>
        <family val="2"/>
      </rPr>
      <t>landfill design has not been changed in ways that would substantially alter landfill gas releases</t>
    </r>
    <r>
      <rPr>
        <b/>
        <sz val="12"/>
        <rFont val="Arial"/>
        <family val="2"/>
      </rPr>
      <t>.</t>
    </r>
  </si>
  <si>
    <r>
      <t xml:space="preserve">Method 1 - For landfills with low permeability caps and effective gas recovery systems 
</t>
    </r>
    <r>
      <rPr>
        <b/>
        <sz val="12"/>
        <color indexed="10"/>
        <rFont val="Arial"/>
        <family val="2"/>
      </rPr>
      <t>where measurements are made of amounts of gas collected</t>
    </r>
  </si>
  <si>
    <r>
      <t xml:space="preserve">Method 2 - For anaerobic wastewater treatment and sludge digestion systems 
</t>
    </r>
    <r>
      <rPr>
        <b/>
        <sz val="12"/>
        <color indexed="10"/>
        <rFont val="Arial"/>
        <family val="2"/>
      </rPr>
      <t>where gas is NOT collected or the collection efficiency is not known.</t>
    </r>
  </si>
  <si>
    <t>Identifying name assigned to this inventory:</t>
  </si>
  <si>
    <t>User entry: Data and parameter values</t>
  </si>
  <si>
    <t>Chemical</t>
  </si>
  <si>
    <t>Emission factor
[kg CO2 per kg chemical]</t>
  </si>
  <si>
    <t>CO2 Emissions
[metric tons CO2 per year]</t>
  </si>
  <si>
    <t>Amount used in the pulp mill
[metric tons/year]</t>
  </si>
  <si>
    <t>Sodium Carbonate</t>
  </si>
  <si>
    <t>Auto calculated value:</t>
  </si>
  <si>
    <t>A</t>
  </si>
  <si>
    <t>B</t>
  </si>
  <si>
    <t>D</t>
  </si>
  <si>
    <t>E</t>
  </si>
  <si>
    <t>LPG</t>
  </si>
  <si>
    <t>Anthracite</t>
  </si>
  <si>
    <t>F</t>
  </si>
  <si>
    <t>C</t>
  </si>
  <si>
    <t>Total electricity/steam production by generator</t>
  </si>
  <si>
    <t>Electricity/steam exports from generator</t>
  </si>
  <si>
    <t>Energy</t>
  </si>
  <si>
    <t>Conversion Factors</t>
  </si>
  <si>
    <t>Net Calorific Value</t>
  </si>
  <si>
    <t>Carbon Content</t>
  </si>
  <si>
    <t>Emission Factor</t>
  </si>
  <si>
    <t>Fuel type</t>
  </si>
  <si>
    <t>G</t>
  </si>
  <si>
    <t>Source description</t>
  </si>
  <si>
    <t>Kerosene</t>
  </si>
  <si>
    <t>Propane</t>
  </si>
  <si>
    <t>Natural gas</t>
  </si>
  <si>
    <t>Petroleum coke</t>
  </si>
  <si>
    <t>Residual fuel oil (No.5, No.6 fuel oil)
Lime kilns</t>
  </si>
  <si>
    <t>Residual fuel oil (No.5, No.6 fuel oil)
Calciners</t>
  </si>
  <si>
    <t>Exports of electrical power</t>
  </si>
  <si>
    <t>Imports of electrical power</t>
  </si>
  <si>
    <t>Imports of steam or hot water</t>
  </si>
  <si>
    <t>Exports of steam or hot water</t>
  </si>
  <si>
    <t>Fraction of total emissions claimed as direct for this entry (between 0 and 1)</t>
  </si>
  <si>
    <t>Suggested default emission factors and "typical emission factors" included below</t>
  </si>
  <si>
    <r>
      <t xml:space="preserve">Note: Where mills are </t>
    </r>
    <r>
      <rPr>
        <b/>
        <sz val="12"/>
        <color indexed="10"/>
        <rFont val="Arial"/>
        <family val="2"/>
      </rPr>
      <t>exporting CO</t>
    </r>
    <r>
      <rPr>
        <b/>
        <vertAlign val="subscript"/>
        <sz val="12"/>
        <color indexed="10"/>
        <rFont val="Arial"/>
        <family val="2"/>
      </rPr>
      <t>2</t>
    </r>
    <r>
      <rPr>
        <b/>
        <sz val="12"/>
        <color indexed="10"/>
        <rFont val="Arial"/>
        <family val="2"/>
      </rPr>
      <t xml:space="preserve"> to precipitated calcium carbonate (PCC) plants</t>
    </r>
    <r>
      <rPr>
        <b/>
        <sz val="12"/>
        <rFont val="Arial"/>
        <family val="2"/>
      </rPr>
      <t>, these exports are not considered emissions.  Amounts of exported CO</t>
    </r>
    <r>
      <rPr>
        <b/>
        <vertAlign val="subscript"/>
        <sz val="12"/>
        <rFont val="Arial"/>
        <family val="2"/>
      </rPr>
      <t>2</t>
    </r>
    <r>
      <rPr>
        <b/>
        <sz val="12"/>
        <rFont val="Arial"/>
        <family val="2"/>
      </rPr>
      <t xml:space="preserve"> are calculated in the sheet for "CO</t>
    </r>
    <r>
      <rPr>
        <b/>
        <vertAlign val="subscript"/>
        <sz val="12"/>
        <rFont val="Arial"/>
        <family val="2"/>
      </rPr>
      <t>2</t>
    </r>
    <r>
      <rPr>
        <b/>
        <sz val="12"/>
        <rFont val="Arial"/>
        <family val="2"/>
      </rPr>
      <t xml:space="preserve"> Imports and Exports."  On the "Direct - Fuel Combustion" sheet (this sheet), the amounts of exported CO</t>
    </r>
    <r>
      <rPr>
        <b/>
        <vertAlign val="subscript"/>
        <sz val="12"/>
        <rFont val="Arial"/>
        <family val="2"/>
      </rPr>
      <t>2</t>
    </r>
    <r>
      <rPr>
        <b/>
        <sz val="12"/>
        <rFont val="Arial"/>
        <family val="2"/>
      </rPr>
      <t xml:space="preserve"> are automatically subtracted from the sum of direct emissions from stationary fossil fuel combustion.  
Also, emissions from </t>
    </r>
    <r>
      <rPr>
        <b/>
        <sz val="12"/>
        <color indexed="10"/>
        <rFont val="Arial"/>
        <family val="2"/>
      </rPr>
      <t>mobile sources</t>
    </r>
    <r>
      <rPr>
        <b/>
        <sz val="12"/>
        <rFont val="Arial"/>
        <family val="2"/>
      </rPr>
      <t xml:space="preserve"> are reported on the "Direct - Mobile &amp; Transportation" spreadsheet immediately behind this spreadsheet
Facilities with boilers that are equiped with flue gas desulfurization (FGD) systems may need to estimate CO2 emissions associated with limestone or dolomite consumption in these scrubbers.  These emissions may be estimated in the "Make-up Chemicals" worksheet.</t>
    </r>
  </si>
  <si>
    <t>Added a note in cell C4 indicating that facilities with fuel gas desulfurization (FGD) systems may need to estimate associated CO2 emissions (may be estimated in the "Make-up Chemicals" worksheet)</t>
  </si>
  <si>
    <t>Direct - Make-up Chemicals</t>
  </si>
  <si>
    <t>Changed name of worksheet (previously was "Direct - Make-up Carbonates")</t>
  </si>
  <si>
    <t>Added capability to estimate carbon dioxide emissions from flue gas desulfurization (FGD) systems (new material in rows 16 through 23)</t>
  </si>
  <si>
    <t>Direct Emissions - Emissions from Make-up Chemicals</t>
  </si>
  <si>
    <t>Direct Emissions - Emissions from Make-up carbonates used in the pulp mill*</t>
  </si>
  <si>
    <t>Direct Emissions - Emissions from Limestone or Dolomite used in flue gas desulfurization systems**</t>
  </si>
  <si>
    <t>Amount consumed in the flue gas desulfurization system
[metric tons/year]</t>
  </si>
  <si>
    <t>Calcium Carbonate</t>
  </si>
  <si>
    <t>Dolomite</t>
  </si>
  <si>
    <t>Total CO2 from FGD systems=</t>
  </si>
  <si>
    <r>
      <t>**Limestone (calcium carbonate) and dolomite can be used as sorbents in flue gas desulfurization (FGD) systems and fluidized bed boilers.  During operation of these FGD systems the limestone is heated and CO</t>
    </r>
    <r>
      <rPr>
        <vertAlign val="subscript"/>
        <sz val="11"/>
        <rFont val="Arial"/>
        <family val="2"/>
      </rPr>
      <t>2</t>
    </r>
    <r>
      <rPr>
        <sz val="11"/>
        <rFont val="Arial"/>
        <family val="2"/>
      </rPr>
      <t xml:space="preserve"> is generated and released.  Because the amount of CO</t>
    </r>
    <r>
      <rPr>
        <vertAlign val="subscript"/>
        <sz val="11"/>
        <rFont val="Arial"/>
        <family val="2"/>
      </rPr>
      <t>2</t>
    </r>
    <r>
      <rPr>
        <sz val="11"/>
        <rFont val="Arial"/>
        <family val="2"/>
      </rPr>
      <t xml:space="preserve"> released is directly related to consumption of limestone in the FGD system, emissions can be calculated based on limestone consumption in the FGD system.</t>
    </r>
  </si>
  <si>
    <t>Total CO2 from Make-up carbonates=</t>
  </si>
  <si>
    <t>Direct emissions from make-up chemicals</t>
  </si>
  <si>
    <t>Modifed text in row 18 to reflect changes in Direct - Make-up Chemicals sheet (related to emissions from FGD systems)</t>
  </si>
  <si>
    <t>Direct Emissions</t>
  </si>
  <si>
    <t>A1</t>
  </si>
  <si>
    <t>A2</t>
  </si>
  <si>
    <t>H1</t>
  </si>
  <si>
    <t>H2</t>
  </si>
  <si>
    <t>Alternative fossil fuels</t>
  </si>
  <si>
    <t>Gaseous fossil</t>
  </si>
  <si>
    <t>Liquid fossil</t>
  </si>
  <si>
    <t>Solid fossil</t>
  </si>
  <si>
    <t>Other fossil fuels</t>
  </si>
  <si>
    <t>Butane</t>
  </si>
  <si>
    <t>Bituminous coal</t>
  </si>
  <si>
    <t>Gasoline / petrol</t>
  </si>
  <si>
    <t>Higher heating value</t>
  </si>
  <si>
    <t>Carbon, % by weight</t>
  </si>
  <si>
    <t>Typical density</t>
  </si>
  <si>
    <t>Distillate fuel oil No.1</t>
  </si>
  <si>
    <t>Distillate fuel oil No.2</t>
  </si>
  <si>
    <t>Residual fuel oil No.5</t>
  </si>
  <si>
    <t>Residual fuel oil No.6</t>
  </si>
  <si>
    <t>Coke</t>
  </si>
  <si>
    <t>( lb / gal )</t>
  </si>
  <si>
    <t>1 kilogram (kg)</t>
  </si>
  <si>
    <t>Mass</t>
  </si>
  <si>
    <t>1 pound (lb)</t>
  </si>
  <si>
    <t>453.6 grams (g)</t>
  </si>
  <si>
    <t>2.205 pounds (lb)</t>
  </si>
  <si>
    <t>1 short ton (ton)</t>
  </si>
  <si>
    <t>907.2 kilograms (kg)</t>
  </si>
  <si>
    <t>Volume</t>
  </si>
  <si>
    <t>7.4805 gallons (gal)</t>
  </si>
  <si>
    <t>0.1781 barrel (bbl)</t>
  </si>
  <si>
    <t>28.32 liters (L)</t>
  </si>
  <si>
    <t>1 gallon (gal)</t>
  </si>
  <si>
    <t>3.785 liters (L)</t>
  </si>
  <si>
    <t>0.0238 barrel (bbl)</t>
  </si>
  <si>
    <t>1 barrel (bbl)</t>
  </si>
  <si>
    <t>42 gallons (gal)</t>
  </si>
  <si>
    <t>Indirect emission impacts related to electricity and steam exports</t>
  </si>
  <si>
    <t>The indirect emissions impact is based on amount of emissions associated with producing the exported power or steam</t>
  </si>
  <si>
    <r>
      <t>Fossil fuel-derived CO</t>
    </r>
    <r>
      <rPr>
        <b/>
        <vertAlign val="subscript"/>
        <sz val="12"/>
        <rFont val="Arial"/>
        <family val="2"/>
      </rPr>
      <t>2</t>
    </r>
    <r>
      <rPr>
        <b/>
        <sz val="12"/>
        <rFont val="Arial"/>
        <family val="2"/>
      </rPr>
      <t xml:space="preserve"> exported to satellite precipitated calcium carbonate (PCC) plants</t>
    </r>
  </si>
  <si>
    <t>Fraction of the gas from this source that is sent to the PCC plant over a year's time 
(Note: Amounts released by the mill rather than exported to the PCC plant should be shown on the "Direct - fuel combust." worksheet)</t>
  </si>
  <si>
    <t>Efficiency of heat production divided by efficiency of power production (default ratio of 0.8/.35=2.29)</t>
  </si>
  <si>
    <t>1.1023 short tons (tons)</t>
  </si>
  <si>
    <t>158.99 liters (L)</t>
  </si>
  <si>
    <t>1 litre (L)</t>
  </si>
  <si>
    <t>0.2642 gallons (gal)</t>
  </si>
  <si>
    <t>6.2897 barrels (bbl)</t>
  </si>
  <si>
    <t>264.2 gallons (gal)</t>
  </si>
  <si>
    <t>1 kilowatt hour (kWh)</t>
  </si>
  <si>
    <t>3412 Btu (btu)</t>
  </si>
  <si>
    <t>1 gigajoule (GJ)</t>
  </si>
  <si>
    <t>1.055 gigajoules (GJ)</t>
  </si>
  <si>
    <t>293 kilowatt hours (kWh)</t>
  </si>
  <si>
    <t>1 Btu (btu)</t>
  </si>
  <si>
    <t>1 million Btu (million btu)</t>
  </si>
  <si>
    <t>1 megajoule (MJ)</t>
  </si>
  <si>
    <t>0.001 gigajoules (GJ)</t>
  </si>
  <si>
    <t>0.9478 million Btu (million btu)</t>
  </si>
  <si>
    <t>277.8 kilowatt hours (kWh)</t>
  </si>
  <si>
    <t>Other</t>
  </si>
  <si>
    <t>Step 1</t>
  </si>
  <si>
    <t>1 therm (therm)</t>
  </si>
  <si>
    <t>0.1055 gigajoules (GJ)</t>
  </si>
  <si>
    <t>29.3 kilowatt hours (kWh)</t>
  </si>
  <si>
    <t>1 mile (statue)</t>
  </si>
  <si>
    <t>1.609 kilometers</t>
  </si>
  <si>
    <t>1 atmosphere (atm)</t>
  </si>
  <si>
    <t>14.696 pounds per square inch (psia)</t>
  </si>
  <si>
    <t>101.325 kilo pascals</t>
  </si>
  <si>
    <r>
      <t xml:space="preserve">1 kgf / cm </t>
    </r>
    <r>
      <rPr>
        <vertAlign val="superscript"/>
        <sz val="12"/>
        <rFont val="Arial"/>
        <family val="2"/>
      </rPr>
      <t>3</t>
    </r>
    <r>
      <rPr>
        <sz val="12"/>
        <rFont val="Arial"/>
        <family val="2"/>
      </rPr>
      <t xml:space="preserve"> (tech atm)</t>
    </r>
  </si>
  <si>
    <t>1 psi</t>
  </si>
  <si>
    <t>kilo</t>
  </si>
  <si>
    <t>mega</t>
  </si>
  <si>
    <t>giga</t>
  </si>
  <si>
    <t>tera</t>
  </si>
  <si>
    <t>Step 2</t>
  </si>
  <si>
    <t>Step 3</t>
  </si>
  <si>
    <t>Step 4</t>
  </si>
  <si>
    <t>Stream description</t>
  </si>
  <si>
    <t>2,000 pounds (lb)</t>
  </si>
  <si>
    <t>2,205 pounds (lb)</t>
  </si>
  <si>
    <t>1,000 kilograms (kg)</t>
  </si>
  <si>
    <t>1,000 liters (L)</t>
  </si>
  <si>
    <t>3,600 kilojoules (KJ)</t>
  </si>
  <si>
    <t>1,055 joules (J)</t>
  </si>
  <si>
    <t xml:space="preserve">100,000 btu </t>
  </si>
  <si>
    <t>1,000</t>
  </si>
  <si>
    <t>1,000,000</t>
  </si>
  <si>
    <t>1,000,000,000</t>
  </si>
  <si>
    <t>1,000,000,000,000</t>
  </si>
  <si>
    <t>Electricity and/or steam Import</t>
  </si>
  <si>
    <t>Step 5</t>
  </si>
  <si>
    <t>Step 6</t>
  </si>
  <si>
    <t>Step 7</t>
  </si>
  <si>
    <r>
      <t xml:space="preserve">1 cubic foot (ft </t>
    </r>
    <r>
      <rPr>
        <vertAlign val="superscript"/>
        <sz val="12"/>
        <rFont val="Arial"/>
        <family val="2"/>
      </rPr>
      <t>3</t>
    </r>
    <r>
      <rPr>
        <sz val="12"/>
        <rFont val="Arial"/>
        <family val="2"/>
      </rPr>
      <t>)</t>
    </r>
  </si>
  <si>
    <r>
      <t xml:space="preserve">1 cubic meter (m </t>
    </r>
    <r>
      <rPr>
        <vertAlign val="superscript"/>
        <sz val="12"/>
        <rFont val="Arial"/>
        <family val="2"/>
      </rPr>
      <t>3</t>
    </r>
    <r>
      <rPr>
        <sz val="12"/>
        <rFont val="Arial"/>
        <family val="2"/>
      </rPr>
      <t>)</t>
    </r>
  </si>
  <si>
    <r>
      <t xml:space="preserve">0.001 cubic meters (m </t>
    </r>
    <r>
      <rPr>
        <vertAlign val="superscript"/>
        <sz val="12"/>
        <rFont val="Arial"/>
        <family val="2"/>
      </rPr>
      <t>3</t>
    </r>
    <r>
      <rPr>
        <sz val="12"/>
        <rFont val="Arial"/>
        <family val="2"/>
      </rPr>
      <t>)</t>
    </r>
  </si>
  <si>
    <r>
      <t xml:space="preserve">0.02832 cubic meters (m </t>
    </r>
    <r>
      <rPr>
        <vertAlign val="superscript"/>
        <sz val="12"/>
        <rFont val="Arial"/>
        <family val="2"/>
      </rPr>
      <t>3</t>
    </r>
    <r>
      <rPr>
        <sz val="12"/>
        <rFont val="Arial"/>
        <family val="2"/>
      </rPr>
      <t>)</t>
    </r>
  </si>
  <si>
    <r>
      <t xml:space="preserve">0.1589 cubic meters (m </t>
    </r>
    <r>
      <rPr>
        <vertAlign val="superscript"/>
        <sz val="12"/>
        <rFont val="Arial"/>
        <family val="2"/>
      </rPr>
      <t>3</t>
    </r>
    <r>
      <rPr>
        <sz val="12"/>
        <rFont val="Arial"/>
        <family val="2"/>
      </rPr>
      <t>)</t>
    </r>
  </si>
  <si>
    <r>
      <t xml:space="preserve">0.003785 cubic meters (m </t>
    </r>
    <r>
      <rPr>
        <vertAlign val="superscript"/>
        <sz val="12"/>
        <rFont val="Arial"/>
        <family val="2"/>
      </rPr>
      <t>3</t>
    </r>
    <r>
      <rPr>
        <sz val="12"/>
        <rFont val="Arial"/>
        <family val="2"/>
      </rPr>
      <t>)</t>
    </r>
  </si>
  <si>
    <t>Name of worksheet</t>
  </si>
  <si>
    <t>Content / purpose</t>
  </si>
  <si>
    <t>Custom Emission Factors</t>
  </si>
  <si>
    <t xml:space="preserve">C </t>
  </si>
  <si>
    <t>Quantity of fuel burned</t>
  </si>
  <si>
    <t>Example: Source 1</t>
  </si>
  <si>
    <t>Residual fuel oil (No.5, No.6 fuel oil)</t>
  </si>
  <si>
    <t>Calculating custom emission factors</t>
  </si>
  <si>
    <t>0.4536 kilograms (kg)</t>
  </si>
  <si>
    <t>Wood and wood waste</t>
  </si>
  <si>
    <t>User entry: Source / fuel description</t>
  </si>
  <si>
    <t>User entry: Fuel use / emission factor values</t>
  </si>
  <si>
    <t>Fuel Type</t>
  </si>
  <si>
    <t>Biofuels</t>
  </si>
  <si>
    <t>P  Power output</t>
  </si>
  <si>
    <t>H  Heat output (district heat, process heat, other steam)</t>
  </si>
  <si>
    <t>(GJ, BTU or kWh)</t>
  </si>
  <si>
    <r>
      <t>E</t>
    </r>
    <r>
      <rPr>
        <vertAlign val="subscript"/>
        <sz val="10"/>
        <rFont val="Arial"/>
        <family val="2"/>
      </rPr>
      <t>T</t>
    </r>
    <r>
      <rPr>
        <sz val="10"/>
        <rFont val="Arial"/>
        <family val="0"/>
      </rPr>
      <t xml:space="preserve">  Total direct emissions from CHP facility</t>
    </r>
  </si>
  <si>
    <t>(same unit as in column A)</t>
  </si>
  <si>
    <t xml:space="preserve">E </t>
  </si>
  <si>
    <t>should be reported in scope 2 as indirect emissions.</t>
  </si>
  <si>
    <r>
      <t>Note:</t>
    </r>
    <r>
      <rPr>
        <b/>
        <sz val="11"/>
        <rFont val="Arial"/>
        <family val="2"/>
      </rPr>
      <t xml:space="preserve"> The emissions associated with electricity and/or steam import </t>
    </r>
  </si>
  <si>
    <t>(% w/w)</t>
  </si>
  <si>
    <t>Calcium Carbonate*</t>
  </si>
  <si>
    <r>
      <t>*It is important to note that the calcium make-up is required because of losses from the causticizing area, most of which are in the form of calcium carbonate.  This lost material is usually landfilled, thereby sequestering the carbon contained in the calcium carbonate.  Because the default method in these calculation tools does not consider this loss of carbon from the system, the estimated CO</t>
    </r>
    <r>
      <rPr>
        <vertAlign val="subscript"/>
        <sz val="11"/>
        <rFont val="Arial"/>
        <family val="2"/>
      </rPr>
      <t>2</t>
    </r>
    <r>
      <rPr>
        <sz val="11"/>
        <rFont val="Arial"/>
        <family val="2"/>
      </rPr>
      <t xml:space="preserve"> emissions from make-up calcium carbonate will be higher than actual emissions.  Where these emissions are significant, companies may want to perform the more detailed analyses required to correct the emissions estimates to account for the carbon that leaves the causticizing area in calcium carbonate.  </t>
    </r>
  </si>
  <si>
    <t>Last year that material was deposited in landfill (or that data is available):</t>
  </si>
  <si>
    <t>First year that material was deposited in landfill (or that data is available):</t>
  </si>
  <si>
    <t>Quantity Placed
[Dry metric tons]</t>
  </si>
  <si>
    <r>
      <t>Ultimate Methane Potential, Lo, 
[default for mill waste
Lo =100m</t>
    </r>
    <r>
      <rPr>
        <vertAlign val="superscript"/>
        <sz val="10"/>
        <rFont val="Arial"/>
        <family val="2"/>
      </rPr>
      <t>3</t>
    </r>
    <r>
      <rPr>
        <sz val="10"/>
        <rFont val="Arial"/>
        <family val="0"/>
      </rPr>
      <t>/dry Mg]</t>
    </r>
  </si>
  <si>
    <t>First order methane generation rate constant, k
[default for mill waste
k = 0.03/yr]</t>
  </si>
  <si>
    <t>Year of interest for emission estimate:</t>
  </si>
  <si>
    <t>Year of Placement
(auto-calculated from information entered above in cells G53 and G54)</t>
  </si>
  <si>
    <t xml:space="preserve">This should be entered as a fraction, i.e. 0 &gt; x &gt; 1 </t>
  </si>
  <si>
    <r>
      <t>kg CO</t>
    </r>
    <r>
      <rPr>
        <vertAlign val="subscript"/>
        <sz val="10"/>
        <rFont val="Arial"/>
        <family val="2"/>
      </rPr>
      <t>2</t>
    </r>
    <r>
      <rPr>
        <sz val="10"/>
        <rFont val="Arial"/>
        <family val="0"/>
      </rPr>
      <t xml:space="preserve"> / GJ</t>
    </r>
  </si>
  <si>
    <r>
      <t xml:space="preserve"> metric tons CO</t>
    </r>
    <r>
      <rPr>
        <vertAlign val="subscript"/>
        <sz val="10"/>
        <rFont val="Arial"/>
        <family val="2"/>
      </rPr>
      <t>2</t>
    </r>
  </si>
  <si>
    <t>GJ / metric tons</t>
  </si>
  <si>
    <t>The intellectual property rights of this calculation tool belong to WRI and WBCSD, unless stated otherwise in any of the tools.</t>
  </si>
  <si>
    <t>Energy Content</t>
  </si>
  <si>
    <t>Fuel specific higher heating values</t>
  </si>
  <si>
    <t>Please cite the orginial reference when using this tool.</t>
  </si>
  <si>
    <t>Harvesting</t>
  </si>
  <si>
    <t>Wood/chip/bark/wastepaper/other raw material transportation vehicles</t>
  </si>
  <si>
    <t>Product, by-product or waste transportation vehicles</t>
  </si>
  <si>
    <t>Debarking</t>
  </si>
  <si>
    <t>Chipping</t>
  </si>
  <si>
    <t>Mechanical pulping</t>
  </si>
  <si>
    <t>Chemical pulping – kraft</t>
  </si>
  <si>
    <t>Chemical pulping – sulfite</t>
  </si>
  <si>
    <t>Chemical pulping – other</t>
  </si>
  <si>
    <t xml:space="preserve">Semichemical pulping </t>
  </si>
  <si>
    <t>Recovery furnace – kraft</t>
  </si>
  <si>
    <t>Liquor furnace – sulfite</t>
  </si>
  <si>
    <t>Liquor furnace – semichem</t>
  </si>
  <si>
    <t>Emission Factors are from Revised 2006 IPCC Guidelines for National Greenhouse Gas Inventories: Volume 2 Energy, Chapter 2 Stationary Combustion (unless noted otherwise)</t>
  </si>
  <si>
    <t>Coal Tar</t>
  </si>
  <si>
    <t>Waste Oil</t>
  </si>
  <si>
    <t>U.S. Department of Energy Energy Information Administration (EIA).  2007.  Instructions for Form EIA-1605, Voluntary Reporting of Greenhouse Gases.  Available on the internet at &lt;http://www.eia.doe.gov/oiaf/1605/pdf/EIA1605_Instructions_10-23-07.pdf&gt; (6 May 2008).  Factors from this source were converted to SI units, and converted from HHV basis to LHV basis using IPCC recommendations:
           Emission factor (LHV) = Emission factor (HHV) / 0.95    for solid/liquid fuels
           Emission factor (LHV) = Emission factor (HHV) / 0.90    for gaseous fuels</t>
  </si>
  <si>
    <r>
      <t xml:space="preserve">kg CO2 / GJ fuel
</t>
    </r>
    <r>
      <rPr>
        <b/>
        <sz val="10"/>
        <color indexed="10"/>
        <rFont val="Arial"/>
        <family val="2"/>
      </rPr>
      <t>[based on lower heating value, net calorific value]</t>
    </r>
  </si>
  <si>
    <r>
      <t xml:space="preserve">kg CO2 equiv. / GJ fuel
</t>
    </r>
    <r>
      <rPr>
        <b/>
        <sz val="10"/>
        <color indexed="10"/>
        <rFont val="Arial"/>
        <family val="2"/>
      </rPr>
      <t>[based on lower heating value, net calorific value]</t>
    </r>
  </si>
  <si>
    <t>All factors are IPCC Tier 1</t>
  </si>
  <si>
    <t>CH4 and N2O factors are IPCC Tier 3 for industrial boilers</t>
  </si>
  <si>
    <t>CH4 factor from NCASI 1981
N2O factor is IPCC Tier 1</t>
  </si>
  <si>
    <t>Natural gas (dry) - turbines &gt; 3 MW</t>
  </si>
  <si>
    <t xml:space="preserve">CH4 and N2O factors are IPCC Tier 3 </t>
  </si>
  <si>
    <t>CH4 factor is IPCC Tier 3
N2O factor is IPCC Tier 1</t>
  </si>
  <si>
    <t>Sub-bituminous coal - Pulverized
Dry bottom, wall fired</t>
  </si>
  <si>
    <t>Coke oven</t>
  </si>
  <si>
    <t>Gas coke</t>
  </si>
  <si>
    <t>Lubricants</t>
  </si>
  <si>
    <t>Plastic (portion of MSW)</t>
  </si>
  <si>
    <t>2885 kg CO2 / tonne</t>
  </si>
  <si>
    <t>CO2 factor from EIA 2007
IPCC does not provide CH4 nor N2O factors</t>
  </si>
  <si>
    <t>Tires and tire derived fuel</t>
  </si>
  <si>
    <t>CO2 factor from EIA 2007
IPCC does not provide CH4 or N2O factors</t>
  </si>
  <si>
    <t>Municipal solid waste (non biomass fraction)</t>
  </si>
  <si>
    <t>Revisions in going from version 1.2 to version 1.3</t>
  </si>
  <si>
    <t>Most CH4 and N2O factors are now Tier 3, with some remaining Tier 1 (when no Tier 3 factors are available)</t>
  </si>
  <si>
    <t>Removed some factors for mobile sources and for fuels not used by forest products industry</t>
  </si>
  <si>
    <t>Lime kiln or calciner</t>
  </si>
  <si>
    <t>Incinerators for noncondensible gases, etc.</t>
  </si>
  <si>
    <t>Wastepaper pulping and cleaning</t>
  </si>
  <si>
    <t>Deinking</t>
  </si>
  <si>
    <t>Bleaching of chemical or semichemical pulp</t>
  </si>
  <si>
    <t>Brightening of deinked pulp</t>
  </si>
  <si>
    <t>On-site preparation of chemicals used in core operations (e.g. ClO2 or O3)</t>
  </si>
  <si>
    <t>Paper and/or paperboard production</t>
  </si>
  <si>
    <t>Coating (including extrusion coating)</t>
  </si>
  <si>
    <t>Roll trimming, roll wrapping, sheet cutting</t>
  </si>
  <si>
    <t>On-site power and steam boilers</t>
  </si>
  <si>
    <t>On-site combustion turbines</t>
  </si>
  <si>
    <t>Gas-fired infrared dryers</t>
  </si>
  <si>
    <t>Other fossil fuel-fired dryers</t>
  </si>
  <si>
    <t>Wastewater treatment operations</t>
  </si>
  <si>
    <t>Sludge processing</t>
  </si>
  <si>
    <t>Landfill receiving mill waste</t>
  </si>
  <si>
    <t>Air emissions control devices</t>
  </si>
  <si>
    <t>On-site vehicles and machinery</t>
  </si>
  <si>
    <t>Normal offices/workspace for mill employees</t>
  </si>
  <si>
    <t>Other Operation – describe:</t>
  </si>
  <si>
    <t>Core Operations that might be included in the inventory are listed below</t>
  </si>
  <si>
    <t>Suggested Default Emission Factors</t>
  </si>
  <si>
    <t>Pulping liquors</t>
  </si>
  <si>
    <t>User enrty: Physical units:</t>
  </si>
  <si>
    <t>Gasoline / petrol 
Mobile 2-stroke engines, forestry</t>
  </si>
  <si>
    <t>Step 11</t>
  </si>
  <si>
    <t>Step 12</t>
  </si>
  <si>
    <t>T Total Fuel input</t>
  </si>
  <si>
    <t>Energy Unit used
in A, B, and C</t>
  </si>
  <si>
    <t>Assigned ratio of efficiencies</t>
  </si>
  <si>
    <t>Minimum ratio allowed by energy balance</t>
  </si>
  <si>
    <t>Maximum ratio allowed by energy balance</t>
  </si>
  <si>
    <t>G = ( A + B * F ) / ( C * F )</t>
  </si>
  <si>
    <t>H = G * F</t>
  </si>
  <si>
    <t>I = E * ( A / ( A + B * F ) )</t>
  </si>
  <si>
    <t>J = E - I</t>
  </si>
  <si>
    <t>K = I * 1000 / A</t>
  </si>
  <si>
    <t>L = J * 1000 / B</t>
  </si>
  <si>
    <r>
      <t>Allowed input values for ratio of heat production efficiency to power production efficiency, e</t>
    </r>
    <r>
      <rPr>
        <vertAlign val="subscript"/>
        <sz val="10"/>
        <rFont val="Arial"/>
        <family val="2"/>
      </rPr>
      <t>h</t>
    </r>
    <r>
      <rPr>
        <sz val="10"/>
        <rFont val="Arial"/>
        <family val="0"/>
      </rPr>
      <t>/e</t>
    </r>
    <r>
      <rPr>
        <vertAlign val="subscript"/>
        <sz val="10"/>
        <rFont val="Arial"/>
        <family val="2"/>
      </rPr>
      <t>p</t>
    </r>
  </si>
  <si>
    <r>
      <t>e</t>
    </r>
    <r>
      <rPr>
        <vertAlign val="subscript"/>
        <sz val="10"/>
        <rFont val="Arial"/>
        <family val="2"/>
      </rPr>
      <t>p</t>
    </r>
    <r>
      <rPr>
        <sz val="10"/>
        <rFont val="Arial"/>
        <family val="0"/>
      </rPr>
      <t xml:space="preserve">  (efficiency of typical power production)</t>
    </r>
  </si>
  <si>
    <r>
      <t>e</t>
    </r>
    <r>
      <rPr>
        <vertAlign val="subscript"/>
        <sz val="10"/>
        <rFont val="Arial"/>
        <family val="2"/>
      </rPr>
      <t>h</t>
    </r>
    <r>
      <rPr>
        <sz val="10"/>
        <rFont val="Arial"/>
        <family val="0"/>
      </rPr>
      <t xml:space="preserve">  (efficiency of typical heat production)</t>
    </r>
  </si>
  <si>
    <r>
      <t>E</t>
    </r>
    <r>
      <rPr>
        <vertAlign val="subscript"/>
        <sz val="10"/>
        <rFont val="Arial"/>
        <family val="2"/>
      </rPr>
      <t>H</t>
    </r>
    <r>
      <rPr>
        <sz val="10"/>
        <rFont val="Arial"/>
        <family val="0"/>
      </rPr>
      <t xml:space="preserve">  Emissions share allocated to heat production</t>
    </r>
  </si>
  <si>
    <r>
      <t>E</t>
    </r>
    <r>
      <rPr>
        <vertAlign val="subscript"/>
        <sz val="10"/>
        <rFont val="Arial"/>
        <family val="2"/>
      </rPr>
      <t>P</t>
    </r>
    <r>
      <rPr>
        <sz val="10"/>
        <rFont val="Arial"/>
        <family val="0"/>
      </rPr>
      <t xml:space="preserve">  Emissions share allocated to electricity production</t>
    </r>
  </si>
  <si>
    <r>
      <t>e</t>
    </r>
    <r>
      <rPr>
        <vertAlign val="subscript"/>
        <sz val="10"/>
        <rFont val="Arial"/>
        <family val="2"/>
      </rPr>
      <t>h</t>
    </r>
    <r>
      <rPr>
        <sz val="10"/>
        <rFont val="Arial"/>
        <family val="0"/>
      </rPr>
      <t>/e</t>
    </r>
    <r>
      <rPr>
        <vertAlign val="subscript"/>
        <sz val="10"/>
        <rFont val="Arial"/>
        <family val="2"/>
      </rPr>
      <t>p</t>
    </r>
  </si>
  <si>
    <t>The equations used to calculate emission allocations in the table above are mathematically identical to those in the current WRI default efficiency method.  However, they have been rearranged to allow the user to select a value for the parameter that controls the allocation (the ratio of efficiencies) in a way that is consistent with the energy balance for the CHP system.  The rearrangements have been made so that the assumptions inherrent to the efficiency method, and their implications, are more clear.  The equations make it clear that (a) the parameter that controls the allocation is the ratio of the efficiencies for heat and power generation, and (b) this ratio and the individual efficiencies are constrained by the energy balance.</t>
  </si>
  <si>
    <t>Example: Bark Boiler</t>
  </si>
  <si>
    <t>Bark</t>
  </si>
  <si>
    <t>Kraft Pulping Liquor</t>
  </si>
  <si>
    <r>
      <t xml:space="preserve">kg CH4 / GJ fuel 
</t>
    </r>
    <r>
      <rPr>
        <b/>
        <sz val="10"/>
        <color indexed="10"/>
        <rFont val="Arial"/>
        <family val="2"/>
      </rPr>
      <t>[based on lower heating value, net calorific value]</t>
    </r>
  </si>
  <si>
    <r>
      <t xml:space="preserve">kg N2O / GJ fuel 
</t>
    </r>
    <r>
      <rPr>
        <b/>
        <sz val="10"/>
        <color indexed="10"/>
        <rFont val="Arial"/>
        <family val="2"/>
      </rPr>
      <t>[based on lower heating value, net calorific value]</t>
    </r>
  </si>
  <si>
    <t>Data for Method 3 - Landfills</t>
  </si>
  <si>
    <t>Waste type</t>
  </si>
  <si>
    <t>Landfill description</t>
  </si>
  <si>
    <t>Example: Landfill A</t>
  </si>
  <si>
    <t>Mill sludge, ash and misc.</t>
  </si>
  <si>
    <t xml:space="preserve">Any increases or decreases in the amount of carbon sequestered by the forests are accounted for in the comprehensive forest accounting system.  This is the approach generally prescribed for national inventories by the United Nations Framework Convention on Climate Change.  Most international protocols including that of the Intergovernmental Panel on Climate Change (IPCC) have adopted the convention set out by the United Nations. </t>
  </si>
  <si>
    <r>
      <t>CO</t>
    </r>
    <r>
      <rPr>
        <vertAlign val="subscript"/>
        <sz val="10"/>
        <rFont val="Arial"/>
        <family val="2"/>
      </rPr>
      <t>2</t>
    </r>
    <r>
      <rPr>
        <sz val="10"/>
        <rFont val="Arial"/>
        <family val="0"/>
      </rPr>
      <t xml:space="preserve"> emissions in metric tonnes/yr</t>
    </r>
  </si>
  <si>
    <t>F = E / 1000</t>
  </si>
  <si>
    <t>Metric Tonne /year</t>
  </si>
  <si>
    <t>Biomass Carbon Released as CO2 from Combustion of Wood or Bark</t>
  </si>
  <si>
    <t>Amount of biomass-derived CO2 included in above number that is exported (e.g. to PCC plant) rather than being emitted - Optional information</t>
  </si>
  <si>
    <t>Removed the term "climate neutral" in describing biomass combustion CO2.</t>
  </si>
  <si>
    <r>
      <t>The discussion on reporting biomass combustion CO</t>
    </r>
    <r>
      <rPr>
        <vertAlign val="subscript"/>
        <sz val="10"/>
        <rFont val="Arial"/>
        <family val="2"/>
      </rPr>
      <t>2</t>
    </r>
    <r>
      <rPr>
        <sz val="10"/>
        <rFont val="Arial"/>
        <family val="0"/>
      </rPr>
      <t xml:space="preserve"> emissions was revised to more closely reflect the revised March 2004 GHG Protocol (WRI/WBCSD) (e.g., the GHG Protocol no longer referes to the reporting of these emissions as "supporting information").</t>
    </r>
  </si>
  <si>
    <t>Modified the formulas to report total biomass combustion CO2 emissions in units of metric tonnes CO2 (previously was metric tonnes carbon)</t>
  </si>
  <si>
    <t>Modified CO2 emission factors to bring into compliance with 2006 IPCC guidance (in both the table of default factors and in column G1 of Part 1 calculation table)</t>
  </si>
  <si>
    <t>kg CO2 per GJ</t>
  </si>
  <si>
    <r>
      <t xml:space="preserve">kg CO2 / GJ fuel
</t>
    </r>
    <r>
      <rPr>
        <sz val="10"/>
        <color indexed="10"/>
        <rFont val="Arial"/>
        <family val="2"/>
      </rPr>
      <t>[based on lower heating value, net calorific value]</t>
    </r>
  </si>
  <si>
    <r>
      <t xml:space="preserve">kg CO2 equiv. / GJ fuel
</t>
    </r>
    <r>
      <rPr>
        <sz val="10"/>
        <color indexed="10"/>
        <rFont val="Arial"/>
        <family val="2"/>
      </rPr>
      <t>[based on lower heating value, net calorific value]</t>
    </r>
  </si>
  <si>
    <t>Default emission factors are from Revised 2006 IPCC Guidelines for National Greenhouse Gas Inventories:  Volume 2 Energy, Chapter 3 Mobile Combustion if not otherwise noted.</t>
  </si>
  <si>
    <t>Default emission factors are from Revised 2006 IPCC Guidelines for National Greenhouse Gas Inventories: Volume 2 Energy, Chapter 3 Mobile Combustion, if not otherwise noted.</t>
  </si>
  <si>
    <t>Gasoline / petrol 
Mobile 4-stroke engines, industry</t>
  </si>
  <si>
    <t>Part 2:</t>
  </si>
  <si>
    <t>Modified CO2, CH4, and N2O emission factors (table of default factors) to bring in compliance with 2006 IPCC guidance.</t>
  </si>
  <si>
    <t>Deleted several entries to table of factors for Part 2 that are associated with fuels not commomly used for transport by forest products industry facilities and for which IPCC does not provide emission factors</t>
  </si>
  <si>
    <t>Modified GWP values from 21 to 25 (ch4) and from 310 to 298 (n2o)</t>
  </si>
  <si>
    <t>Gasoline / petrol 
Mobile 2-stroke engines, industry</t>
  </si>
  <si>
    <t>Kerosene*</t>
  </si>
  <si>
    <t>Suggested Default Emission Factors (for non-road mobile sources)</t>
  </si>
  <si>
    <t xml:space="preserve">Part 2.  Emissions Associated with Non-road Mobile Equipment Based on Fuel Consumption </t>
  </si>
  <si>
    <t>** CH4 and N2O factors for LPG and natural gas are IPCC Tier 1 for on-road mobile sources (Tier 3 factors for off-road mobile sources not provided by IPCC for these fuels)</t>
  </si>
  <si>
    <t>LPG**</t>
  </si>
  <si>
    <t>Natural gas (dry)**</t>
  </si>
  <si>
    <t>* CH4 and N2O factors for kerosene are IPCC Tier 1 for stationary mobile sources (IPCC does not provided CH4 or N2O factors for these fuels in mobile sources)</t>
  </si>
  <si>
    <t>Corrected erroneous emission factor for consumption of dolomite in flue gas desulfurization systems (was 0.447, corrected to 0.477)</t>
  </si>
  <si>
    <t>Modified the GWP values (from 21 and 310 for CH4 and N2O, to 25 and 298)</t>
  </si>
  <si>
    <t>I = [ F + (G*25) + (H*298) ] / E</t>
  </si>
  <si>
    <r>
      <t>CO</t>
    </r>
    <r>
      <rPr>
        <vertAlign val="subscript"/>
        <sz val="10"/>
        <rFont val="Arial"/>
        <family val="2"/>
      </rPr>
      <t>2</t>
    </r>
    <r>
      <rPr>
        <sz val="10"/>
        <rFont val="Arial"/>
        <family val="0"/>
      </rPr>
      <t xml:space="preserve"> emission factor:
[default value is:
solid biomass:  112*
kg CO</t>
    </r>
    <r>
      <rPr>
        <vertAlign val="subscript"/>
        <sz val="10"/>
        <rFont val="Arial"/>
        <family val="2"/>
      </rPr>
      <t>2</t>
    </r>
    <r>
      <rPr>
        <sz val="10"/>
        <rFont val="Arial"/>
        <family val="0"/>
      </rPr>
      <t>/GJ LHV]</t>
    </r>
  </si>
  <si>
    <r>
      <t xml:space="preserve">* Emission factor for solid biomass from Intergovernmental Panel on Climate Change (IPCC). 2007. </t>
    </r>
    <r>
      <rPr>
        <i/>
        <sz val="12"/>
        <rFont val="Arial"/>
        <family val="2"/>
      </rPr>
      <t>Revised 2006 IPCC Guidelines for National Greenhouse Gas Inventories: Volume 2 Energy, Chapter 1 Introduction</t>
    </r>
    <r>
      <rPr>
        <sz val="12"/>
        <rFont val="Arial"/>
        <family val="2"/>
      </rPr>
      <t>. Table 1.4</t>
    </r>
    <r>
      <rPr>
        <sz val="12"/>
        <rFont val="Arial"/>
        <family val="2"/>
      </rPr>
      <t>.</t>
    </r>
  </si>
  <si>
    <t>Changed the biomass combustion CO2 emission factor for wood or bark to bring into compliance with 2006 IPCC guidance.</t>
  </si>
  <si>
    <r>
      <t>CO</t>
    </r>
    <r>
      <rPr>
        <vertAlign val="subscript"/>
        <sz val="10"/>
        <rFont val="Arial"/>
        <family val="2"/>
      </rPr>
      <t>2</t>
    </r>
    <r>
      <rPr>
        <sz val="10"/>
        <rFont val="Arial"/>
        <family val="0"/>
      </rPr>
      <t xml:space="preserve"> emission factors:
[default value is: black liquor: 95.3*
kg CO</t>
    </r>
    <r>
      <rPr>
        <vertAlign val="subscript"/>
        <sz val="10"/>
        <rFont val="Arial"/>
        <family val="2"/>
      </rPr>
      <t>2</t>
    </r>
    <r>
      <rPr>
        <sz val="10"/>
        <rFont val="Arial"/>
        <family val="0"/>
      </rPr>
      <t>/GJ LHV]</t>
    </r>
  </si>
  <si>
    <r>
      <t xml:space="preserve">* Emission factor for black liquor ("sulphite lyes") from Intergovernmental Panel on Climate Change (IPCC). 2007. </t>
    </r>
    <r>
      <rPr>
        <i/>
        <sz val="12"/>
        <rFont val="Arial"/>
        <family val="2"/>
      </rPr>
      <t>Revised 2006 IPCC Guidelines for National Greenhouse Gas Inventories: Volume 2 Energy, Chapter 1 Introduction</t>
    </r>
    <r>
      <rPr>
        <sz val="12"/>
        <rFont val="Arial"/>
        <family val="2"/>
      </rPr>
      <t>. Table 1.4.</t>
    </r>
  </si>
  <si>
    <t>Changed the biomass combustion CO2 emission factor for black liquor ("sulphite lyes") to bring into compliance with 2006 IPCC guidance.</t>
  </si>
  <si>
    <t>Biomass Carbon in Pulping Liquors Released as CO2 from the recovery furnace and lime kiln or calciner</t>
  </si>
  <si>
    <r>
      <t>Combustion-Related Releases of Biomass-Derived CO</t>
    </r>
    <r>
      <rPr>
        <b/>
        <vertAlign val="subscript"/>
        <sz val="16"/>
        <rFont val="Arial"/>
        <family val="2"/>
      </rPr>
      <t>2</t>
    </r>
  </si>
  <si>
    <r>
      <t>Combustion-Related Releases of Biomass-Derived CO</t>
    </r>
    <r>
      <rPr>
        <vertAlign val="subscript"/>
        <sz val="12"/>
        <rFont val="Arial"/>
        <family val="2"/>
      </rPr>
      <t>2</t>
    </r>
    <r>
      <rPr>
        <sz val="12"/>
        <rFont val="Arial"/>
        <family val="2"/>
      </rPr>
      <t xml:space="preserve">
[ metric tons CO</t>
    </r>
    <r>
      <rPr>
        <vertAlign val="subscript"/>
        <sz val="12"/>
        <rFont val="Arial"/>
        <family val="2"/>
      </rPr>
      <t xml:space="preserve">2 </t>
    </r>
    <r>
      <rPr>
        <sz val="12"/>
        <rFont val="Arial"/>
        <family val="2"/>
      </rPr>
      <t xml:space="preserve"> / year ]</t>
    </r>
  </si>
  <si>
    <t>Added row to present additional information on biomass combustion CO2</t>
  </si>
  <si>
    <t>Quantity of gas collected
[dry standard cubic meters/yr]</t>
  </si>
  <si>
    <t>Efficiency of gas collection system
[default = 0.75]</t>
  </si>
  <si>
    <t>Methane content of gas
[default = 0.5]</t>
  </si>
  <si>
    <t>Fraction of collected gas that is burned
[default = 1.0]</t>
  </si>
  <si>
    <t xml:space="preserve">Methane emissions in metric tons </t>
  </si>
  <si>
    <t xml:space="preserve">Methane emissions in metric tons CO2 equivalents </t>
  </si>
  <si>
    <t>User entry: Source description</t>
  </si>
  <si>
    <t>Direct or Indirect - Mobile and Transportation Source Emissions</t>
  </si>
  <si>
    <t>The following information is not directly used in the GHG emissions calculations, but is intended to provide clarification of the type of facility for which the inventory is being performed.</t>
  </si>
  <si>
    <t>Direct or Indirect Emissions - Waste Management</t>
  </si>
  <si>
    <r>
      <t xml:space="preserve">For </t>
    </r>
    <r>
      <rPr>
        <b/>
        <sz val="14"/>
        <color indexed="10"/>
        <rFont val="Arial"/>
        <family val="2"/>
      </rPr>
      <t>landfills</t>
    </r>
    <r>
      <rPr>
        <b/>
        <sz val="14"/>
        <rFont val="Arial"/>
        <family val="2"/>
      </rPr>
      <t xml:space="preserve"> and </t>
    </r>
    <r>
      <rPr>
        <b/>
        <sz val="14"/>
        <color indexed="10"/>
        <rFont val="Arial"/>
        <family val="2"/>
      </rPr>
      <t>anaerobic wastewater treatment and sludge digestion</t>
    </r>
    <r>
      <rPr>
        <b/>
        <sz val="14"/>
        <rFont val="Arial"/>
        <family val="2"/>
      </rPr>
      <t xml:space="preserve"> systems</t>
    </r>
  </si>
  <si>
    <r>
      <t xml:space="preserve">Methane emissions from landfills
</t>
    </r>
    <r>
      <rPr>
        <b/>
        <sz val="12"/>
        <rFont val="Arial"/>
        <family val="2"/>
      </rPr>
      <t>Note: Use only one of the following methods for each landfill.</t>
    </r>
  </si>
  <si>
    <r>
      <t xml:space="preserve">Methane emissions from anaerobic wastewater 
treatment or sludge digestion systems
</t>
    </r>
    <r>
      <rPr>
        <b/>
        <sz val="12"/>
        <rFont val="Arial"/>
        <family val="2"/>
      </rPr>
      <t>Note: Use only one of the following methods for each source.</t>
    </r>
  </si>
  <si>
    <t>L2</t>
  </si>
  <si>
    <t>L1</t>
  </si>
  <si>
    <t>Mobile &amp; Transportation</t>
  </si>
  <si>
    <t>Waste Mngmt.</t>
  </si>
  <si>
    <r>
      <t>Emissions of CH</t>
    </r>
    <r>
      <rPr>
        <vertAlign val="subscript"/>
        <sz val="12"/>
        <rFont val="Arial"/>
        <family val="2"/>
      </rPr>
      <t>4</t>
    </r>
    <r>
      <rPr>
        <sz val="12"/>
        <rFont val="Arial"/>
        <family val="2"/>
      </rPr>
      <t xml:space="preserve"> resulting from mill-owned landfills or anaerobic treatment operations</t>
    </r>
  </si>
  <si>
    <t xml:space="preserve">Method 2 - For landfills that cannot use Method 1.  </t>
  </si>
  <si>
    <t>H</t>
  </si>
  <si>
    <t>Fraction of uncollected methane that oxidizes in the landfill cover
[default = 0.1]</t>
  </si>
  <si>
    <t>Quantity of methane released
[dry standard cubic meters/yr]</t>
  </si>
  <si>
    <t>G = F * [ 0.72 kg / standard cubic meter ] / 1000</t>
  </si>
  <si>
    <t>F=((A/B)*(1-B)*D*(1-E))+(A*D*(1-C))</t>
  </si>
  <si>
    <t>First order methane generation rate constant, k
[default for mill waste = 0.03 per year</t>
  </si>
  <si>
    <t>Quantity of methane generated
[dry standard cubic meters/yr]</t>
  </si>
  <si>
    <t>Years since landfill opened</t>
  </si>
  <si>
    <t>Years since landfill stopped receiving waste</t>
  </si>
  <si>
    <t>F = A * B * (e^(-k*E) - e^(-k*D))</t>
  </si>
  <si>
    <t>Methane emissions in cubic meters per year</t>
  </si>
  <si>
    <t>Annual waste deposits
[Dry metric tons / year]</t>
  </si>
  <si>
    <t>Ultimate Methane Potential, Lo, in
cubic meters methane per dry metric ton waste
[default for mill waste = 100 m3/dry Mg]</t>
  </si>
  <si>
    <t>I</t>
  </si>
  <si>
    <t>J</t>
  </si>
  <si>
    <t>Use this space to provide a general description of operational boundaries.</t>
  </si>
  <si>
    <t xml:space="preserve">Sum of mill landfill methane emissions from Methods 1, 2 &amp; 3: </t>
  </si>
  <si>
    <t xml:space="preserve">Use this space to provide additional information helpful to understanding the operational boundaries of the inventory. </t>
  </si>
  <si>
    <t xml:space="preserve">User enters information in spaces with this color  </t>
  </si>
  <si>
    <t>Natural gas (dry) - lime kiln</t>
  </si>
  <si>
    <t>Natural gas (dry) - calciners</t>
  </si>
  <si>
    <t>Natural gas (dry) - boilers and IR dryers</t>
  </si>
  <si>
    <t>Distillate fuel 
(No.1, No.2, No.4 fuel oil and diesel)
Stationary sources except lime kilns and calciners</t>
  </si>
  <si>
    <t>Distillate fuel 
(No.1, No.2, No.4 fuel oil and diesel)
Lime kilns</t>
  </si>
  <si>
    <t>Distillate fuel 
(No.1, No.2, No.4 fuel oil and diesel)
Calciners</t>
  </si>
  <si>
    <t>Distillate fuel 
(No.1, No.2, No.4 fuel oil and diesel)
Mobile sources</t>
  </si>
  <si>
    <t>Example</t>
  </si>
  <si>
    <t>Step 8</t>
  </si>
  <si>
    <r>
      <t>Total direct CO</t>
    </r>
    <r>
      <rPr>
        <vertAlign val="subscript"/>
        <sz val="10"/>
        <rFont val="Arial"/>
        <family val="2"/>
      </rPr>
      <t>2</t>
    </r>
    <r>
      <rPr>
        <sz val="10"/>
        <rFont val="Arial"/>
        <family val="0"/>
      </rPr>
      <t xml:space="preserve"> emissions from generating the total electricity/steam</t>
    </r>
  </si>
  <si>
    <t>Introduction</t>
  </si>
  <si>
    <t>Table of Contents</t>
  </si>
  <si>
    <t>Bituminous coal
Overfeed stoker boiler</t>
  </si>
  <si>
    <t>Bituminous coal
Underfeed stoker boiler</t>
  </si>
  <si>
    <t>Bituminous coal - Pulverized
Dry bottom, wall fired</t>
  </si>
  <si>
    <t>Bituminous coal - Pulverized
Dry bottom, tangential firing</t>
  </si>
  <si>
    <t>Bituminous coal - Pulverized
Wet bottom</t>
  </si>
  <si>
    <t>Bituminous coal
Spreader stoker boiler</t>
  </si>
  <si>
    <t>Bituminous coal - fluidized bed
Circulating or bubbling</t>
  </si>
  <si>
    <t>Sub-bituminous coal
Overfeed stoker boiler</t>
  </si>
  <si>
    <t>Sub-bituminous coal
Underfeed stoker boiler</t>
  </si>
  <si>
    <t>Sub-bituminous coal - fluidized bed
Circulating or bubbling</t>
  </si>
  <si>
    <t>Lignite</t>
  </si>
  <si>
    <t xml:space="preserve"> </t>
  </si>
  <si>
    <t>Operations in Inventory</t>
  </si>
  <si>
    <t>Direct - Fuel Combust.</t>
  </si>
  <si>
    <t>E = A * C</t>
  </si>
  <si>
    <t>Direct - Make-up Carbonates</t>
  </si>
  <si>
    <r>
      <t>kg CO</t>
    </r>
    <r>
      <rPr>
        <vertAlign val="subscript"/>
        <sz val="10"/>
        <rFont val="Arial"/>
        <family val="2"/>
      </rPr>
      <t>2</t>
    </r>
    <r>
      <rPr>
        <sz val="10"/>
        <rFont val="Arial"/>
        <family val="0"/>
      </rPr>
      <t xml:space="preserve"> / MWh</t>
    </r>
  </si>
  <si>
    <t>MWh</t>
  </si>
  <si>
    <r>
      <t>CO</t>
    </r>
    <r>
      <rPr>
        <vertAlign val="subscript"/>
        <sz val="10"/>
        <rFont val="Arial"/>
        <family val="2"/>
      </rPr>
      <t>2</t>
    </r>
    <r>
      <rPr>
        <sz val="10"/>
        <rFont val="Arial"/>
        <family val="0"/>
      </rPr>
      <t xml:space="preserve"> emission factor for imported electricity or steam*</t>
    </r>
  </si>
  <si>
    <t>Example&gt;&gt;</t>
  </si>
  <si>
    <t>Fraction of landfill gas that is collected</t>
  </si>
  <si>
    <t>K</t>
  </si>
  <si>
    <t>L</t>
  </si>
  <si>
    <t>J = (F*(1-H)*(1-G))+(F*H*(1-I))</t>
  </si>
  <si>
    <t>K = J * [ 0.72 kg / standard cubic meter ] / 1000</t>
  </si>
  <si>
    <t>Fraction of collected landfill gas that is burned</t>
  </si>
  <si>
    <t>D = (A * B) - C</t>
  </si>
  <si>
    <t>C = 1000 * B * 3.664 / A</t>
  </si>
  <si>
    <t>Summarizes results of inventory</t>
  </si>
  <si>
    <t>Name of Inventory</t>
  </si>
  <si>
    <t>General description of inventory boundaries</t>
  </si>
  <si>
    <t>Summary of Inventory Results</t>
  </si>
  <si>
    <t>Direct - Waste Mngmt.</t>
  </si>
  <si>
    <t>CHP Allocation</t>
  </si>
  <si>
    <t>Indirect - Energy Imports</t>
  </si>
  <si>
    <t>Indirect - Energy Exports</t>
  </si>
  <si>
    <t>Summary Table</t>
  </si>
  <si>
    <r>
      <t>Note:</t>
    </r>
    <r>
      <rPr>
        <b/>
        <sz val="11"/>
        <rFont val="Arial"/>
        <family val="2"/>
      </rPr>
      <t xml:space="preserve">  Under the WRI/WBCSD GHG Protocol, the direct emissions associated with stationary combustion should be reported in scope 1 as direct emissions from stationary sources.</t>
    </r>
  </si>
  <si>
    <t>System description</t>
  </si>
  <si>
    <t>The reporting format for the "Calculation tools for estimating greehouse gas emissions from pulp and paper mills" can be satisfied by printing the following completed worksheets:</t>
  </si>
  <si>
    <t>(A list of revisions from earlier versions of this spreadsheet is contained in the worksheet labeled "Revision Log.")</t>
  </si>
  <si>
    <r>
      <t>Note that where CO</t>
    </r>
    <r>
      <rPr>
        <b/>
        <vertAlign val="subscript"/>
        <sz val="10"/>
        <color indexed="10"/>
        <rFont val="Arial"/>
        <family val="2"/>
      </rPr>
      <t>2</t>
    </r>
    <r>
      <rPr>
        <b/>
        <sz val="10"/>
        <color indexed="10"/>
        <rFont val="Arial"/>
        <family val="2"/>
      </rPr>
      <t xml:space="preserve"> exports consist of gases from a fossil fuel fired lime kiln or calciner, the exports of fossil fuel-derived CO2 shown in the GHG inventory results will be accompanied by exports of climate-neutral biomass-derived CO</t>
    </r>
    <r>
      <rPr>
        <b/>
        <vertAlign val="subscript"/>
        <sz val="10"/>
        <color indexed="10"/>
        <rFont val="Arial"/>
        <family val="2"/>
      </rPr>
      <t>2</t>
    </r>
    <r>
      <rPr>
        <b/>
        <sz val="10"/>
        <color indexed="10"/>
        <rFont val="Arial"/>
        <family val="2"/>
      </rPr>
      <t>.  As a general approximation, the amounts of climate-neutral biomass-derived CO</t>
    </r>
    <r>
      <rPr>
        <b/>
        <vertAlign val="subscript"/>
        <sz val="10"/>
        <color indexed="10"/>
        <rFont val="Arial"/>
        <family val="2"/>
      </rPr>
      <t>2</t>
    </r>
    <r>
      <rPr>
        <b/>
        <sz val="10"/>
        <color indexed="10"/>
        <rFont val="Arial"/>
        <family val="2"/>
      </rPr>
      <t xml:space="preserve"> will be twice the exports of fossil fuel-derived CO</t>
    </r>
    <r>
      <rPr>
        <b/>
        <vertAlign val="subscript"/>
        <sz val="10"/>
        <color indexed="10"/>
        <rFont val="Arial"/>
        <family val="2"/>
      </rPr>
      <t>2</t>
    </r>
    <r>
      <rPr>
        <b/>
        <sz val="10"/>
        <color indexed="10"/>
        <rFont val="Arial"/>
        <family val="2"/>
      </rPr>
      <t xml:space="preserve"> (Miner, R. and Upton, B.  2002.  Methods for estimating greenhouse gas emissions from lime kilns at kraft pulp mills.  </t>
    </r>
    <r>
      <rPr>
        <b/>
        <i/>
        <sz val="10"/>
        <color indexed="10"/>
        <rFont val="Arial"/>
        <family val="2"/>
      </rPr>
      <t>Energy</t>
    </r>
    <r>
      <rPr>
        <b/>
        <sz val="10"/>
        <color indexed="10"/>
        <rFont val="Arial"/>
        <family val="2"/>
      </rPr>
      <t>, Volume 27 No. 8, pp. 729-738 (Sept. 2002).)  
Additional information on biomass is presented in the "Supporting Info. on Biomass" worksheet.</t>
    </r>
  </si>
  <si>
    <t>Biogas used in boilers or kilns</t>
  </si>
  <si>
    <t>Text explanation</t>
  </si>
  <si>
    <t>Factors for converting among common units of measure</t>
  </si>
  <si>
    <t>* Emission factors for purchased electricity can normally be obtained from national authorities or from the supplier of the purchased electricity.
  Emission factors for imported electricity or steam from CHP systems can be determined by the methods outlined in the "CHP Allocation" worksheet.</t>
  </si>
  <si>
    <t>Emission factor for heat production</t>
  </si>
  <si>
    <t>Emission factor for electricity production</t>
  </si>
  <si>
    <t>Step 9</t>
  </si>
  <si>
    <t>Step 10</t>
  </si>
  <si>
    <t>NOTE: All listed emission factors are based on LHV - LHV assumed to be 95% of HHV for biomass fuels</t>
  </si>
  <si>
    <t xml:space="preserve">Part 1.  Emissions Calculated from Fuel Used:  All Modes of Transport </t>
  </si>
  <si>
    <t xml:space="preserve">Note:  Use this worksheet to calculate your emissions from amount of fuel consumed. </t>
  </si>
  <si>
    <t>Optional Calculator</t>
  </si>
  <si>
    <t>E1</t>
  </si>
  <si>
    <t>E2</t>
  </si>
  <si>
    <t>G1</t>
  </si>
  <si>
    <t>G2</t>
  </si>
  <si>
    <t xml:space="preserve"> = Distance traveled</t>
  </si>
  <si>
    <t>Fuel used</t>
  </si>
  <si>
    <t>Energy used</t>
  </si>
  <si>
    <t>Emissions Factor</t>
  </si>
  <si>
    <t xml:space="preserve"> = miles per gallon</t>
  </si>
  <si>
    <t>Type of Fuel Used</t>
  </si>
  <si>
    <t>GJ per Fuel Unit</t>
  </si>
  <si>
    <t>GJ energy</t>
  </si>
  <si>
    <t>metric tonnes</t>
  </si>
  <si>
    <t>kWh</t>
  </si>
  <si>
    <t xml:space="preserve">        OR</t>
  </si>
  <si>
    <t>Amount of</t>
  </si>
  <si>
    <t>Fuel</t>
  </si>
  <si>
    <r>
      <t xml:space="preserve">ICFPA/NCASI Spreadsheets for 
Calculating GHG emissions from pulp and paper manufacturing
</t>
    </r>
    <r>
      <rPr>
        <b/>
        <sz val="14"/>
        <rFont val="Arial"/>
        <family val="2"/>
      </rPr>
      <t xml:space="preserve">
Workbook Version 1.4 </t>
    </r>
    <r>
      <rPr>
        <b/>
        <sz val="12"/>
        <rFont val="Arial"/>
        <family val="2"/>
      </rPr>
      <t>(see below for USER AGREEMENT)</t>
    </r>
  </si>
  <si>
    <t>H = E + (F * 28) + (G * 265)</t>
  </si>
  <si>
    <t>Revisions in going from version 1.3 to version 1.4</t>
  </si>
  <si>
    <t>Throughout tool: Revised GWP values to ensure consistency with the IPCC Fifth Assessment Report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</si>
</sst>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_(* #,##0.0_);_(* \(#,##0.0\);_(* &quot;-&quot;??_);_(@_)"/>
    <numFmt numFmtId="170" formatCode="0.00&quot; *&quot;"/>
    <numFmt numFmtId="171" formatCode="###0.00_)"/>
    <numFmt numFmtId="172" formatCode="0.0_W"/>
    <numFmt numFmtId="173" formatCode="#,##0_)"/>
    <numFmt numFmtId="174" formatCode="#,##0.0\ &quot;l/100km&quot;"/>
    <numFmt numFmtId="175" formatCode="#,##0.00000"/>
    <numFmt numFmtId="176" formatCode="0.000000E+00"/>
    <numFmt numFmtId="177" formatCode="&quot;Yes&quot;;&quot;Yes&quot;;&quot;No&quot;"/>
    <numFmt numFmtId="178" formatCode="&quot;True&quot;;&quot;True&quot;;&quot;False&quot;"/>
    <numFmt numFmtId="179" formatCode="&quot;On&quot;;&quot;On&quot;;&quot;Off&quot;"/>
    <numFmt numFmtId="180" formatCode="[$€-2]\ #,##0.00_);[Red]\([$€-2]\ #,##0.00\)"/>
    <numFmt numFmtId="181" formatCode="#,##0.0000"/>
  </numFmts>
  <fonts count="109">
    <font>
      <sz val="10"/>
      <name val="Arial"/>
      <family val="0"/>
    </font>
    <font>
      <sz val="12"/>
      <name val="Arial"/>
      <family val="2"/>
    </font>
    <font>
      <b/>
      <sz val="10"/>
      <name val="Arial"/>
      <family val="2"/>
    </font>
    <font>
      <sz val="10"/>
      <color indexed="47"/>
      <name val="Arial"/>
      <family val="2"/>
    </font>
    <font>
      <sz val="10"/>
      <color indexed="9"/>
      <name val="Arial"/>
      <family val="2"/>
    </font>
    <font>
      <b/>
      <sz val="10"/>
      <color indexed="9"/>
      <name val="Arial"/>
      <family val="2"/>
    </font>
    <font>
      <b/>
      <sz val="12"/>
      <name val="Arial"/>
      <family val="2"/>
    </font>
    <font>
      <sz val="14"/>
      <name val="Arial"/>
      <family val="2"/>
    </font>
    <font>
      <u val="single"/>
      <sz val="10"/>
      <color indexed="12"/>
      <name val="Arial"/>
      <family val="2"/>
    </font>
    <font>
      <u val="single"/>
      <sz val="10"/>
      <color indexed="36"/>
      <name val="Arial"/>
      <family val="2"/>
    </font>
    <font>
      <sz val="1"/>
      <name val="Arial"/>
      <family val="2"/>
    </font>
    <font>
      <b/>
      <vertAlign val="subscript"/>
      <sz val="10"/>
      <name val="Arial"/>
      <family val="2"/>
    </font>
    <font>
      <sz val="9"/>
      <name val="Arial"/>
      <family val="2"/>
    </font>
    <font>
      <b/>
      <sz val="11"/>
      <name val="Arial"/>
      <family val="2"/>
    </font>
    <font>
      <sz val="8"/>
      <name val="Arial"/>
      <family val="2"/>
    </font>
    <font>
      <b/>
      <sz val="8"/>
      <name val="Arial"/>
      <family val="2"/>
    </font>
    <font>
      <vertAlign val="superscript"/>
      <sz val="12"/>
      <name val="Arial"/>
      <family val="2"/>
    </font>
    <font>
      <vertAlign val="subscript"/>
      <sz val="12"/>
      <name val="Arial"/>
      <family val="2"/>
    </font>
    <font>
      <b/>
      <sz val="14"/>
      <name val="Arial"/>
      <family val="2"/>
    </font>
    <font>
      <b/>
      <sz val="10"/>
      <color indexed="10"/>
      <name val="Arial"/>
      <family val="2"/>
    </font>
    <font>
      <vertAlign val="subscript"/>
      <sz val="10"/>
      <name val="Arial"/>
      <family val="2"/>
    </font>
    <font>
      <b/>
      <u val="single"/>
      <sz val="11"/>
      <name val="Arial"/>
      <family val="2"/>
    </font>
    <font>
      <b/>
      <sz val="8"/>
      <name val="Tahoma"/>
      <family val="2"/>
    </font>
    <font>
      <b/>
      <sz val="12"/>
      <color indexed="10"/>
      <name val="Arial"/>
      <family val="2"/>
    </font>
    <font>
      <b/>
      <sz val="18"/>
      <name val="Arial"/>
      <family val="2"/>
    </font>
    <font>
      <b/>
      <sz val="16"/>
      <name val="Arial"/>
      <family val="2"/>
    </font>
    <font>
      <sz val="18"/>
      <name val="Arial"/>
      <family val="2"/>
    </font>
    <font>
      <b/>
      <sz val="11"/>
      <color indexed="10"/>
      <name val="Arial"/>
      <family val="2"/>
    </font>
    <font>
      <b/>
      <i/>
      <sz val="14"/>
      <name val="Arial"/>
      <family val="2"/>
    </font>
    <font>
      <b/>
      <u val="single"/>
      <sz val="12"/>
      <name val="Arial"/>
      <family val="2"/>
    </font>
    <font>
      <b/>
      <i/>
      <sz val="12"/>
      <name val="Arial"/>
      <family val="2"/>
    </font>
    <font>
      <b/>
      <sz val="14"/>
      <color indexed="10"/>
      <name val="Arial"/>
      <family val="2"/>
    </font>
    <font>
      <b/>
      <u val="single"/>
      <sz val="16"/>
      <name val="Arial"/>
      <family val="2"/>
    </font>
    <font>
      <sz val="16"/>
      <name val="Arial"/>
      <family val="2"/>
    </font>
    <font>
      <sz val="12"/>
      <name val="Helv"/>
      <family val="0"/>
    </font>
    <font>
      <b/>
      <sz val="12"/>
      <name val="Helv"/>
      <family val="0"/>
    </font>
    <font>
      <sz val="9"/>
      <name val="Helv"/>
      <family val="0"/>
    </font>
    <font>
      <vertAlign val="superscript"/>
      <sz val="12"/>
      <name val="Helv"/>
      <family val="0"/>
    </font>
    <font>
      <sz val="10"/>
      <name val="Helv"/>
      <family val="0"/>
    </font>
    <font>
      <b/>
      <sz val="9"/>
      <name val="Helv"/>
      <family val="0"/>
    </font>
    <font>
      <sz val="8.5"/>
      <name val="Helv"/>
      <family val="0"/>
    </font>
    <font>
      <b/>
      <sz val="10"/>
      <name val="Helv"/>
      <family val="0"/>
    </font>
    <font>
      <sz val="8"/>
      <name val="Helv"/>
      <family val="0"/>
    </font>
    <font>
      <b/>
      <sz val="14"/>
      <name val="Helv"/>
      <family val="0"/>
    </font>
    <font>
      <b/>
      <i/>
      <sz val="10"/>
      <name val="Arial"/>
      <family val="2"/>
    </font>
    <font>
      <sz val="9"/>
      <color indexed="18"/>
      <name val="Arial"/>
      <family val="2"/>
    </font>
    <font>
      <b/>
      <sz val="12"/>
      <color indexed="11"/>
      <name val="Arial"/>
      <family val="2"/>
    </font>
    <font>
      <sz val="9"/>
      <color indexed="11"/>
      <name val="Arial"/>
      <family val="2"/>
    </font>
    <font>
      <sz val="10"/>
      <color indexed="11"/>
      <name val="Arial"/>
      <family val="2"/>
    </font>
    <font>
      <b/>
      <sz val="9"/>
      <color indexed="52"/>
      <name val="Arial"/>
      <family val="2"/>
    </font>
    <font>
      <b/>
      <sz val="9"/>
      <color indexed="11"/>
      <name val="Arial"/>
      <family val="2"/>
    </font>
    <font>
      <b/>
      <sz val="9"/>
      <name val="Arial"/>
      <family val="2"/>
    </font>
    <font>
      <sz val="9"/>
      <color indexed="8"/>
      <name val="Arial"/>
      <family val="2"/>
    </font>
    <font>
      <b/>
      <sz val="9"/>
      <color indexed="9"/>
      <name val="Arial"/>
      <family val="2"/>
    </font>
    <font>
      <sz val="9"/>
      <color indexed="9"/>
      <name val="Arial"/>
      <family val="2"/>
    </font>
    <font>
      <b/>
      <sz val="10"/>
      <color indexed="52"/>
      <name val="Arial"/>
      <family val="2"/>
    </font>
    <font>
      <b/>
      <sz val="9"/>
      <color indexed="8"/>
      <name val="Arial"/>
      <family val="2"/>
    </font>
    <font>
      <sz val="8"/>
      <color indexed="8"/>
      <name val="Arial"/>
      <family val="2"/>
    </font>
    <font>
      <sz val="10"/>
      <color indexed="8"/>
      <name val="Arial"/>
      <family val="2"/>
    </font>
    <font>
      <sz val="9"/>
      <color indexed="27"/>
      <name val="Arial"/>
      <family val="2"/>
    </font>
    <font>
      <sz val="8"/>
      <name val="Tahoma"/>
      <family val="2"/>
    </font>
    <font>
      <b/>
      <vertAlign val="subscript"/>
      <sz val="12"/>
      <name val="Arial"/>
      <family val="2"/>
    </font>
    <font>
      <b/>
      <sz val="18"/>
      <color indexed="8"/>
      <name val="Arial"/>
      <family val="2"/>
    </font>
    <font>
      <b/>
      <sz val="18"/>
      <color indexed="10"/>
      <name val="Arial"/>
      <family val="2"/>
    </font>
    <font>
      <sz val="11"/>
      <name val="Arial"/>
      <family val="2"/>
    </font>
    <font>
      <sz val="10"/>
      <color indexed="10"/>
      <name val="Arial"/>
      <family val="2"/>
    </font>
    <font>
      <b/>
      <vertAlign val="subscript"/>
      <sz val="18"/>
      <color indexed="10"/>
      <name val="Arial"/>
      <family val="2"/>
    </font>
    <font>
      <i/>
      <sz val="11"/>
      <name val="Arial"/>
      <family val="2"/>
    </font>
    <font>
      <b/>
      <sz val="8"/>
      <color indexed="8"/>
      <name val="Arial"/>
      <family val="2"/>
    </font>
    <font>
      <b/>
      <vertAlign val="subscript"/>
      <sz val="14"/>
      <color indexed="10"/>
      <name val="Arial"/>
      <family val="2"/>
    </font>
    <font>
      <vertAlign val="subscript"/>
      <sz val="11"/>
      <name val="Arial"/>
      <family val="2"/>
    </font>
    <font>
      <b/>
      <i/>
      <sz val="10"/>
      <color indexed="10"/>
      <name val="Arial"/>
      <family val="2"/>
    </font>
    <font>
      <b/>
      <vertAlign val="subscript"/>
      <sz val="12"/>
      <color indexed="10"/>
      <name val="Arial"/>
      <family val="2"/>
    </font>
    <font>
      <b/>
      <vertAlign val="subscript"/>
      <sz val="10"/>
      <color indexed="10"/>
      <name val="Arial"/>
      <family val="2"/>
    </font>
    <font>
      <b/>
      <sz val="16"/>
      <color indexed="10"/>
      <name val="Arial"/>
      <family val="2"/>
    </font>
    <font>
      <vertAlign val="superscript"/>
      <sz val="10"/>
      <name val="Arial"/>
      <family val="2"/>
    </font>
    <font>
      <i/>
      <sz val="12"/>
      <name val="Arial"/>
      <family val="2"/>
    </font>
    <font>
      <b/>
      <sz val="18"/>
      <color indexed="11"/>
      <name val="Arial"/>
      <family val="2"/>
    </font>
    <font>
      <b/>
      <sz val="12"/>
      <color indexed="8"/>
      <name val="Arial"/>
      <family val="2"/>
    </font>
    <font>
      <b/>
      <sz val="10"/>
      <color indexed="8"/>
      <name val="Arial"/>
      <family val="2"/>
    </font>
    <font>
      <b/>
      <vertAlign val="subscrip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4"/>
        <bgColor indexed="64"/>
      </patternFill>
    </fill>
    <fill>
      <patternFill patternType="solid">
        <fgColor indexed="62"/>
        <bgColor indexed="64"/>
      </patternFill>
    </fill>
    <fill>
      <patternFill patternType="solid">
        <fgColor indexed="18"/>
        <bgColor indexed="64"/>
      </patternFill>
    </fill>
    <fill>
      <patternFill patternType="solid">
        <fgColor indexed="41"/>
        <bgColor indexed="64"/>
      </patternFill>
    </fill>
    <fill>
      <patternFill patternType="darkDown">
        <bgColor indexed="22"/>
      </patternFill>
    </fill>
    <fill>
      <patternFill patternType="solid">
        <fgColor indexed="5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8"/>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color indexed="63"/>
      </left>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thin"/>
    </border>
    <border>
      <left style="thin"/>
      <right style="thin"/>
      <top>
        <color indexed="63"/>
      </top>
      <bottom>
        <color indexed="63"/>
      </bottom>
    </border>
    <border>
      <left style="thin"/>
      <right style="thin"/>
      <top style="thin"/>
      <bottom style="double"/>
    </border>
    <border>
      <left style="double"/>
      <right style="thin"/>
      <top style="double"/>
      <bottom style="double"/>
    </border>
    <border>
      <left style="double"/>
      <right style="thin"/>
      <top style="double"/>
      <bottom style="thin"/>
    </border>
    <border>
      <left style="double"/>
      <right style="thin"/>
      <top style="thin"/>
      <bottom style="thin"/>
    </border>
    <border>
      <left style="thin"/>
      <right style="double"/>
      <top>
        <color indexed="63"/>
      </top>
      <bottom style="double"/>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double"/>
      <top style="thin"/>
      <bottom style="thin"/>
    </border>
    <border>
      <left>
        <color indexed="63"/>
      </left>
      <right>
        <color indexed="63"/>
      </right>
      <top style="medium">
        <color indexed="9"/>
      </top>
      <bottom style="medium">
        <color indexed="9"/>
      </bottom>
    </border>
    <border>
      <left style="thin"/>
      <right style="thin"/>
      <top style="thin"/>
      <bottom style="medium"/>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color indexed="62"/>
      </top>
      <bottom style="medium">
        <color indexed="62"/>
      </bottom>
    </border>
    <border>
      <left>
        <color indexed="63"/>
      </left>
      <right style="double"/>
      <top style="medium">
        <color indexed="9"/>
      </top>
      <bottom style="medium">
        <color indexed="9"/>
      </bottom>
    </border>
    <border>
      <left>
        <color indexed="63"/>
      </left>
      <right style="double"/>
      <top style="medium">
        <color indexed="9"/>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medium"/>
    </border>
    <border>
      <left>
        <color indexed="63"/>
      </left>
      <right>
        <color indexed="63"/>
      </right>
      <top>
        <color indexed="63"/>
      </top>
      <bottom style="mediu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color indexed="63"/>
      </left>
      <right style="thin"/>
      <top>
        <color indexed="63"/>
      </top>
      <bottom style="thick">
        <color indexed="10"/>
      </bottom>
    </border>
    <border>
      <left>
        <color indexed="63"/>
      </left>
      <right style="thin"/>
      <top style="thick">
        <color indexed="10"/>
      </top>
      <bottom>
        <color indexed="63"/>
      </bottom>
    </border>
    <border>
      <left>
        <color indexed="63"/>
      </left>
      <right>
        <color indexed="63"/>
      </right>
      <top style="thick">
        <color indexed="10"/>
      </top>
      <bottom style="medium">
        <color indexed="62"/>
      </bottom>
    </border>
    <border>
      <left>
        <color indexed="63"/>
      </left>
      <right>
        <color indexed="63"/>
      </right>
      <top style="medium">
        <color indexed="62"/>
      </top>
      <bottom style="thick">
        <color indexed="10"/>
      </bottom>
    </border>
    <border>
      <left style="thin"/>
      <right style="double"/>
      <top>
        <color indexed="63"/>
      </top>
      <bottom>
        <color indexed="63"/>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double"/>
      <right style="thin"/>
      <top>
        <color indexed="63"/>
      </top>
      <bottom>
        <color indexed="63"/>
      </bottom>
    </border>
    <border>
      <left style="thin"/>
      <right style="thin"/>
      <top style="medium"/>
      <bottom style="thin"/>
    </border>
    <border>
      <left style="thin"/>
      <right>
        <color indexed="63"/>
      </right>
      <top>
        <color indexed="63"/>
      </top>
      <bottom style="thin"/>
    </border>
    <border>
      <left>
        <color indexed="63"/>
      </left>
      <right>
        <color indexed="63"/>
      </right>
      <top style="double"/>
      <bottom style="thin"/>
    </border>
    <border>
      <left style="double"/>
      <right style="double"/>
      <top>
        <color indexed="63"/>
      </top>
      <bottom>
        <color indexed="63"/>
      </bottom>
    </border>
    <border>
      <left>
        <color indexed="63"/>
      </left>
      <right>
        <color indexed="63"/>
      </right>
      <top style="medium">
        <color indexed="9"/>
      </top>
      <bottom>
        <color indexed="63"/>
      </bottom>
    </border>
    <border>
      <left style="thin"/>
      <right>
        <color indexed="63"/>
      </right>
      <top style="medium">
        <color indexed="9"/>
      </top>
      <bottom>
        <color indexed="63"/>
      </bottom>
    </border>
    <border>
      <left style="thin"/>
      <right style="double"/>
      <top style="double"/>
      <bottom style="double"/>
    </border>
    <border>
      <left>
        <color indexed="63"/>
      </left>
      <right>
        <color indexed="63"/>
      </right>
      <top>
        <color indexed="63"/>
      </top>
      <bottom style="medium">
        <color indexed="9"/>
      </bottom>
    </border>
    <border>
      <left style="double"/>
      <right style="double"/>
      <top>
        <color indexed="63"/>
      </top>
      <bottom style="double"/>
    </border>
    <border>
      <left style="thin"/>
      <right style="double"/>
      <top style="thin"/>
      <bottom style="double"/>
    </border>
    <border>
      <left style="double"/>
      <right style="thin"/>
      <top style="thin"/>
      <bottom style="double"/>
    </border>
    <border>
      <left style="double"/>
      <right>
        <color indexed="63"/>
      </right>
      <top style="medium">
        <color indexed="9"/>
      </top>
      <bottom style="medium">
        <color indexed="9"/>
      </bottom>
    </border>
    <border>
      <left style="thin"/>
      <right style="thin"/>
      <top style="medium"/>
      <bottom>
        <color indexed="63"/>
      </bottom>
    </border>
    <border>
      <left>
        <color indexed="63"/>
      </left>
      <right style="thin"/>
      <top style="thin"/>
      <bottom style="medium"/>
    </border>
    <border>
      <left>
        <color indexed="63"/>
      </left>
      <right>
        <color indexed="63"/>
      </right>
      <top style="thin"/>
      <bottom style="medium"/>
    </border>
    <border>
      <left style="thin"/>
      <right>
        <color indexed="63"/>
      </right>
      <top style="thin"/>
      <bottom style="double"/>
    </border>
    <border>
      <left>
        <color indexed="63"/>
      </left>
      <right style="thin"/>
      <top style="thin"/>
      <bottom style="double"/>
    </border>
    <border>
      <left style="double"/>
      <right>
        <color indexed="63"/>
      </right>
      <top style="thin"/>
      <bottom style="double"/>
    </border>
    <border>
      <left>
        <color indexed="63"/>
      </left>
      <right style="double"/>
      <top style="thin"/>
      <bottom style="double"/>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0" fontId="3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3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3" fontId="36" fillId="0" borderId="3" applyAlignment="0">
      <protection/>
    </xf>
    <xf numFmtId="173" fontId="36" fillId="0" borderId="3">
      <alignment horizontal="right" vertical="center"/>
      <protection/>
    </xf>
    <xf numFmtId="49" fontId="37" fillId="0" borderId="3">
      <alignment horizontal="left" vertical="center"/>
      <protection/>
    </xf>
    <xf numFmtId="171" fontId="38" fillId="0" borderId="3" applyNumberFormat="0" applyFill="0">
      <alignment horizontal="right"/>
      <protection/>
    </xf>
    <xf numFmtId="172" fontId="38" fillId="0" borderId="3">
      <alignment horizontal="right"/>
      <protection/>
    </xf>
    <xf numFmtId="0" fontId="0" fillId="0" borderId="0" applyFont="0" applyFill="0" applyBorder="0" applyAlignment="0" applyProtection="0"/>
    <xf numFmtId="0" fontId="100" fillId="0" borderId="0" applyNumberFormat="0" applyFill="0" applyBorder="0" applyAlignment="0" applyProtection="0"/>
    <xf numFmtId="2" fontId="0" fillId="0" borderId="0" applyFont="0" applyFill="0" applyBorder="0" applyAlignment="0" applyProtection="0"/>
    <xf numFmtId="0" fontId="9" fillId="0" borderId="0" applyNumberFormat="0" applyFill="0" applyBorder="0" applyAlignment="0" applyProtection="0"/>
    <xf numFmtId="0" fontId="101" fillId="29" borderId="0" applyNumberFormat="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102" fillId="0" borderId="4" applyNumberFormat="0" applyFill="0" applyAlignment="0" applyProtection="0"/>
    <xf numFmtId="0" fontId="102" fillId="0" borderId="0" applyNumberFormat="0" applyFill="0" applyBorder="0" applyAlignment="0" applyProtection="0"/>
    <xf numFmtId="0" fontId="39" fillId="0" borderId="3">
      <alignment horizontal="left"/>
      <protection/>
    </xf>
    <xf numFmtId="0" fontId="39" fillId="0" borderId="5">
      <alignment horizontal="right" vertical="center"/>
      <protection/>
    </xf>
    <xf numFmtId="0" fontId="40" fillId="0" borderId="3">
      <alignment horizontal="left" vertical="center"/>
      <protection/>
    </xf>
    <xf numFmtId="0" fontId="38" fillId="0" borderId="3">
      <alignment horizontal="left" vertical="center"/>
      <protection/>
    </xf>
    <xf numFmtId="0" fontId="41" fillId="0" borderId="3">
      <alignment horizontal="left"/>
      <protection/>
    </xf>
    <xf numFmtId="0" fontId="41" fillId="30" borderId="0">
      <alignment horizontal="centerContinuous" wrapText="1"/>
      <protection/>
    </xf>
    <xf numFmtId="49" fontId="41" fillId="30" borderId="6">
      <alignment horizontal="left" vertical="center"/>
      <protection/>
    </xf>
    <xf numFmtId="0" fontId="41" fillId="30" borderId="0">
      <alignment horizontal="centerContinuous" vertical="center" wrapText="1"/>
      <protection/>
    </xf>
    <xf numFmtId="0" fontId="8" fillId="0" borderId="0" applyNumberFormat="0" applyFill="0" applyBorder="0" applyAlignment="0" applyProtection="0"/>
    <xf numFmtId="0" fontId="103" fillId="31" borderId="1" applyNumberFormat="0" applyAlignment="0" applyProtection="0"/>
    <xf numFmtId="0" fontId="104" fillId="0" borderId="7" applyNumberFormat="0" applyFill="0" applyAlignment="0" applyProtection="0"/>
    <xf numFmtId="41"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5" fillId="32" borderId="0" applyNumberFormat="0" applyBorder="0" applyAlignment="0" applyProtection="0"/>
    <xf numFmtId="0" fontId="0" fillId="33" borderId="8" applyNumberFormat="0" applyFont="0" applyAlignment="0" applyProtection="0"/>
    <xf numFmtId="0" fontId="106" fillId="27" borderId="9" applyNumberFormat="0" applyAlignment="0" applyProtection="0"/>
    <xf numFmtId="9" fontId="0" fillId="0" borderId="0" applyFont="0" applyFill="0" applyBorder="0" applyAlignment="0" applyProtection="0"/>
    <xf numFmtId="3" fontId="36" fillId="0" borderId="0">
      <alignment horizontal="left" vertical="center"/>
      <protection/>
    </xf>
    <xf numFmtId="0" fontId="34" fillId="0" borderId="0">
      <alignment horizontal="left" vertical="center"/>
      <protection/>
    </xf>
    <xf numFmtId="0" fontId="42" fillId="0" borderId="0">
      <alignment horizontal="right"/>
      <protection/>
    </xf>
    <xf numFmtId="49" fontId="42" fillId="0" borderId="0">
      <alignment horizontal="center"/>
      <protection/>
    </xf>
    <xf numFmtId="0" fontId="37" fillId="0" borderId="0">
      <alignment horizontal="right"/>
      <protection/>
    </xf>
    <xf numFmtId="0" fontId="42" fillId="0" borderId="0">
      <alignment horizontal="left"/>
      <protection/>
    </xf>
    <xf numFmtId="49" fontId="36" fillId="0" borderId="0">
      <alignment horizontal="left" vertical="center"/>
      <protection/>
    </xf>
    <xf numFmtId="49" fontId="37" fillId="0" borderId="3">
      <alignment horizontal="left" vertical="center"/>
      <protection/>
    </xf>
    <xf numFmtId="49" fontId="34" fillId="0" borderId="3" applyFill="0">
      <alignment horizontal="left" vertical="center"/>
      <protection/>
    </xf>
    <xf numFmtId="49" fontId="37" fillId="0" borderId="3">
      <alignment horizontal="left"/>
      <protection/>
    </xf>
    <xf numFmtId="171" fontId="36" fillId="0" borderId="0" applyNumberFormat="0">
      <alignment horizontal="right"/>
      <protection/>
    </xf>
    <xf numFmtId="0" fontId="39" fillId="34" borderId="0">
      <alignment horizontal="centerContinuous" vertical="center" wrapText="1"/>
      <protection/>
    </xf>
    <xf numFmtId="0" fontId="39" fillId="0" borderId="10">
      <alignment horizontal="left" vertical="center"/>
      <protection/>
    </xf>
    <xf numFmtId="0" fontId="43" fillId="0" borderId="0">
      <alignment horizontal="left" vertical="top"/>
      <protection/>
    </xf>
    <xf numFmtId="0" fontId="107" fillId="0" borderId="0" applyNumberFormat="0" applyFill="0" applyBorder="0" applyAlignment="0" applyProtection="0"/>
    <xf numFmtId="0" fontId="41" fillId="0" borderId="0">
      <alignment horizontal="left"/>
      <protection/>
    </xf>
    <xf numFmtId="0" fontId="35" fillId="0" borderId="0">
      <alignment horizontal="left"/>
      <protection/>
    </xf>
    <xf numFmtId="0" fontId="38" fillId="0" borderId="0">
      <alignment horizontal="left"/>
      <protection/>
    </xf>
    <xf numFmtId="0" fontId="43" fillId="0" borderId="0">
      <alignment horizontal="left" vertical="top"/>
      <protection/>
    </xf>
    <xf numFmtId="0" fontId="35" fillId="0" borderId="0">
      <alignment horizontal="left"/>
      <protection/>
    </xf>
    <xf numFmtId="0" fontId="38" fillId="0" borderId="0">
      <alignment horizontal="left"/>
      <protection/>
    </xf>
    <xf numFmtId="0" fontId="0" fillId="0" borderId="11" applyNumberFormat="0" applyFont="0" applyFill="0" applyAlignment="0" applyProtection="0"/>
    <xf numFmtId="0" fontId="108" fillId="0" borderId="0" applyNumberFormat="0" applyFill="0" applyBorder="0" applyAlignment="0" applyProtection="0"/>
    <xf numFmtId="49" fontId="36" fillId="0" borderId="3">
      <alignment horizontal="left"/>
      <protection/>
    </xf>
    <xf numFmtId="0" fontId="39" fillId="0" borderId="5">
      <alignment horizontal="left"/>
      <protection/>
    </xf>
    <xf numFmtId="0" fontId="41" fillId="0" borderId="0">
      <alignment horizontal="left" vertical="center"/>
      <protection/>
    </xf>
    <xf numFmtId="49" fontId="42" fillId="0" borderId="3">
      <alignment horizontal="left"/>
      <protection/>
    </xf>
  </cellStyleXfs>
  <cellXfs count="1081">
    <xf numFmtId="0" fontId="0" fillId="0" borderId="0" xfId="0" applyAlignment="1">
      <alignment/>
    </xf>
    <xf numFmtId="0" fontId="0" fillId="0" borderId="0" xfId="0" applyFill="1" applyBorder="1" applyAlignment="1">
      <alignment/>
    </xf>
    <xf numFmtId="0" fontId="2" fillId="0" borderId="0" xfId="0" applyFont="1" applyFill="1" applyBorder="1" applyAlignment="1">
      <alignment/>
    </xf>
    <xf numFmtId="4" fontId="2" fillId="0" borderId="12" xfId="0" applyNumberFormat="1" applyFont="1" applyFill="1" applyBorder="1" applyAlignment="1">
      <alignment horizontal="center" vertical="center"/>
    </xf>
    <xf numFmtId="0" fontId="0" fillId="0" borderId="0" xfId="0" applyFill="1" applyAlignment="1">
      <alignment/>
    </xf>
    <xf numFmtId="4" fontId="0" fillId="0" borderId="13" xfId="0" applyNumberForma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2" xfId="0" applyNumberFormat="1" applyFill="1" applyBorder="1" applyAlignment="1">
      <alignment horizontal="center" vertical="center"/>
    </xf>
    <xf numFmtId="4" fontId="0" fillId="0" borderId="12" xfId="0" applyNumberFormat="1" applyFill="1" applyBorder="1" applyAlignment="1">
      <alignment horizontal="center" vertical="center" wrapText="1"/>
    </xf>
    <xf numFmtId="4" fontId="0" fillId="0" borderId="14" xfId="0" applyNumberFormat="1" applyFill="1" applyBorder="1" applyAlignment="1">
      <alignment horizontal="center" vertical="center"/>
    </xf>
    <xf numFmtId="4" fontId="4" fillId="35" borderId="12" xfId="0" applyNumberFormat="1" applyFont="1" applyFill="1" applyBorder="1" applyAlignment="1">
      <alignment horizontal="center" vertical="center" wrapText="1"/>
    </xf>
    <xf numFmtId="0" fontId="4" fillId="35" borderId="12" xfId="0" applyFont="1" applyFill="1" applyBorder="1" applyAlignment="1">
      <alignment horizontal="center" vertical="center" wrapText="1"/>
    </xf>
    <xf numFmtId="2" fontId="4" fillId="35" borderId="12" xfId="0" applyNumberFormat="1"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6" fillId="0" borderId="0" xfId="0" applyFont="1" applyFill="1" applyAlignment="1">
      <alignment/>
    </xf>
    <xf numFmtId="0" fontId="7" fillId="0" borderId="0" xfId="0" applyFont="1" applyAlignment="1">
      <alignment/>
    </xf>
    <xf numFmtId="4" fontId="2" fillId="0" borderId="15"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0" fontId="0" fillId="0" borderId="0" xfId="0" applyFill="1" applyBorder="1" applyAlignment="1">
      <alignment horizontal="left"/>
    </xf>
    <xf numFmtId="2" fontId="0" fillId="35" borderId="12" xfId="0" applyNumberFormat="1" applyFill="1" applyBorder="1" applyAlignment="1">
      <alignment horizontal="center" vertical="center" wrapText="1"/>
    </xf>
    <xf numFmtId="0" fontId="2" fillId="0" borderId="0" xfId="0" applyFont="1" applyAlignment="1">
      <alignment/>
    </xf>
    <xf numFmtId="4" fontId="2" fillId="0" borderId="12" xfId="0" applyNumberFormat="1" applyFont="1" applyBorder="1" applyAlignment="1">
      <alignment horizontal="center" vertical="top"/>
    </xf>
    <xf numFmtId="4" fontId="0" fillId="35" borderId="12" xfId="0" applyNumberFormat="1" applyFont="1" applyFill="1" applyBorder="1" applyAlignment="1">
      <alignment horizontal="center" vertical="top"/>
    </xf>
    <xf numFmtId="4" fontId="0" fillId="0" borderId="12" xfId="0" applyNumberFormat="1" applyBorder="1" applyAlignment="1">
      <alignment horizontal="center" vertical="top"/>
    </xf>
    <xf numFmtId="4" fontId="0" fillId="35" borderId="12" xfId="0" applyNumberFormat="1" applyFill="1" applyBorder="1" applyAlignment="1">
      <alignment horizontal="center" vertical="top"/>
    </xf>
    <xf numFmtId="0" fontId="14" fillId="0" borderId="0" xfId="0" applyFont="1" applyAlignment="1">
      <alignment/>
    </xf>
    <xf numFmtId="0" fontId="1" fillId="0" borderId="0" xfId="0" applyFont="1" applyFill="1" applyAlignment="1">
      <alignment horizontal="center" vertical="center"/>
    </xf>
    <xf numFmtId="0" fontId="0" fillId="0" borderId="0" xfId="0" applyFont="1" applyAlignment="1">
      <alignment/>
    </xf>
    <xf numFmtId="4"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0" fontId="0" fillId="0" borderId="0" xfId="0" applyBorder="1" applyAlignment="1">
      <alignment/>
    </xf>
    <xf numFmtId="4" fontId="2" fillId="0" borderId="12" xfId="0" applyNumberFormat="1" applyFont="1" applyFill="1" applyBorder="1" applyAlignment="1">
      <alignment horizontal="center" vertical="center"/>
    </xf>
    <xf numFmtId="4" fontId="1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 fontId="4" fillId="35" borderId="13" xfId="0" applyNumberFormat="1" applyFont="1" applyFill="1" applyBorder="1" applyAlignment="1">
      <alignment horizontal="center" vertical="center" wrapText="1"/>
    </xf>
    <xf numFmtId="0" fontId="4" fillId="35" borderId="13" xfId="0" applyFont="1" applyFill="1" applyBorder="1" applyAlignment="1">
      <alignment horizontal="center" vertical="center" wrapText="1"/>
    </xf>
    <xf numFmtId="0" fontId="0" fillId="0" borderId="0" xfId="0" applyFill="1" applyAlignment="1">
      <alignment horizontal="center" vertical="center"/>
    </xf>
    <xf numFmtId="0" fontId="18" fillId="0" borderId="0" xfId="0" applyFont="1" applyFill="1" applyAlignment="1">
      <alignment/>
    </xf>
    <xf numFmtId="0" fontId="2" fillId="0" borderId="12" xfId="0" applyFont="1" applyFill="1" applyBorder="1" applyAlignment="1">
      <alignment horizontal="center" vertical="center"/>
    </xf>
    <xf numFmtId="0" fontId="0" fillId="0" borderId="12" xfId="0" applyFill="1" applyBorder="1" applyAlignment="1">
      <alignment horizontal="center" vertical="center" wrapText="1"/>
    </xf>
    <xf numFmtId="0" fontId="5" fillId="35" borderId="12" xfId="0" applyFont="1" applyFill="1" applyBorder="1" applyAlignment="1">
      <alignment horizontal="center" vertical="center"/>
    </xf>
    <xf numFmtId="0" fontId="5" fillId="35" borderId="12" xfId="0" applyFont="1" applyFill="1" applyBorder="1" applyAlignment="1">
      <alignment horizontal="center" vertical="center" wrapText="1"/>
    </xf>
    <xf numFmtId="0" fontId="5" fillId="35" borderId="15" xfId="0" applyFont="1" applyFill="1" applyBorder="1" applyAlignment="1">
      <alignment horizontal="center" vertical="center"/>
    </xf>
    <xf numFmtId="2" fontId="0" fillId="36" borderId="12" xfId="0" applyNumberFormat="1" applyFont="1" applyFill="1" applyBorder="1" applyAlignment="1">
      <alignment horizontal="center" vertical="center"/>
    </xf>
    <xf numFmtId="2" fontId="0" fillId="35" borderId="12" xfId="0" applyNumberFormat="1" applyFont="1" applyFill="1" applyBorder="1" applyAlignment="1">
      <alignment horizontal="center" vertical="center"/>
    </xf>
    <xf numFmtId="2" fontId="2" fillId="0" borderId="12" xfId="0" applyNumberFormat="1" applyFont="1" applyFill="1" applyBorder="1" applyAlignment="1">
      <alignment horizontal="center" vertical="center"/>
    </xf>
    <xf numFmtId="2" fontId="2" fillId="0" borderId="12" xfId="0" applyNumberFormat="1" applyFont="1" applyFill="1" applyBorder="1" applyAlignment="1">
      <alignment horizontal="center" vertical="center" wrapText="1"/>
    </xf>
    <xf numFmtId="2" fontId="2" fillId="0" borderId="12" xfId="0" applyNumberFormat="1" applyFont="1" applyFill="1" applyBorder="1" applyAlignment="1" applyProtection="1">
      <alignment horizontal="center" vertical="center" wrapText="1"/>
      <protection/>
    </xf>
    <xf numFmtId="2" fontId="0" fillId="36" borderId="12" xfId="0" applyNumberFormat="1" applyFont="1" applyFill="1" applyBorder="1" applyAlignment="1" applyProtection="1">
      <alignment horizontal="center" vertical="center"/>
      <protection/>
    </xf>
    <xf numFmtId="2" fontId="0" fillId="36" borderId="12" xfId="0" applyNumberFormat="1" applyFont="1" applyFill="1" applyBorder="1" applyAlignment="1">
      <alignment horizontal="center" vertical="center" wrapText="1"/>
    </xf>
    <xf numFmtId="2" fontId="0" fillId="35" borderId="12" xfId="0" applyNumberFormat="1" applyFont="1" applyFill="1" applyBorder="1" applyAlignment="1" applyProtection="1">
      <alignment horizontal="center" vertical="center"/>
      <protection/>
    </xf>
    <xf numFmtId="4" fontId="6" fillId="0" borderId="0" xfId="0" applyNumberFormat="1" applyFont="1" applyFill="1" applyBorder="1" applyAlignment="1">
      <alignment horizontal="left" vertical="center"/>
    </xf>
    <xf numFmtId="2" fontId="0" fillId="0" borderId="12" xfId="0" applyNumberFormat="1" applyFont="1" applyFill="1" applyBorder="1" applyAlignment="1">
      <alignment horizontal="center" vertical="center" wrapText="1"/>
    </xf>
    <xf numFmtId="0" fontId="0" fillId="37" borderId="17" xfId="0" applyFill="1" applyBorder="1" applyAlignment="1">
      <alignment/>
    </xf>
    <xf numFmtId="0" fontId="0" fillId="37" borderId="11"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49" fontId="6" fillId="0" borderId="0" xfId="0" applyNumberFormat="1" applyFont="1" applyFill="1" applyAlignment="1">
      <alignment/>
    </xf>
    <xf numFmtId="49" fontId="0" fillId="0" borderId="0" xfId="0" applyNumberFormat="1" applyFill="1" applyBorder="1" applyAlignment="1">
      <alignment/>
    </xf>
    <xf numFmtId="49" fontId="6" fillId="0" borderId="0" xfId="0" applyNumberFormat="1" applyFont="1" applyFill="1" applyBorder="1" applyAlignment="1">
      <alignment horizontal="left" vertical="center"/>
    </xf>
    <xf numFmtId="49" fontId="0" fillId="0" borderId="0" xfId="0" applyNumberFormat="1" applyFill="1" applyAlignment="1">
      <alignment/>
    </xf>
    <xf numFmtId="2" fontId="0" fillId="37" borderId="0" xfId="0" applyNumberFormat="1" applyFill="1" applyBorder="1" applyAlignment="1">
      <alignment horizontal="center" vertical="center" wrapText="1"/>
    </xf>
    <xf numFmtId="0" fontId="1" fillId="0" borderId="0" xfId="0" applyFont="1" applyFill="1" applyAlignment="1">
      <alignment horizontal="left" vertical="center"/>
    </xf>
    <xf numFmtId="0" fontId="0" fillId="37" borderId="0" xfId="0" applyFill="1" applyBorder="1" applyAlignment="1">
      <alignment/>
    </xf>
    <xf numFmtId="4" fontId="0" fillId="37" borderId="21" xfId="0" applyNumberFormat="1" applyFont="1" applyFill="1" applyBorder="1" applyAlignment="1">
      <alignment/>
    </xf>
    <xf numFmtId="0" fontId="0" fillId="37" borderId="19" xfId="0" applyFill="1" applyBorder="1" applyAlignment="1">
      <alignment wrapText="1"/>
    </xf>
    <xf numFmtId="4" fontId="0" fillId="37" borderId="0" xfId="0" applyNumberFormat="1" applyFill="1" applyBorder="1" applyAlignment="1">
      <alignment/>
    </xf>
    <xf numFmtId="2" fontId="0" fillId="37" borderId="12" xfId="0" applyNumberFormat="1" applyFont="1" applyFill="1" applyBorder="1" applyAlignment="1">
      <alignment horizontal="center" vertical="center" wrapText="1"/>
    </xf>
    <xf numFmtId="3" fontId="0" fillId="37" borderId="20" xfId="0" applyNumberFormat="1" applyFont="1" applyFill="1" applyBorder="1" applyAlignment="1">
      <alignment horizontal="center" vertical="center" wrapText="1"/>
    </xf>
    <xf numFmtId="4" fontId="2" fillId="37" borderId="20" xfId="0" applyNumberFormat="1" applyFont="1" applyFill="1" applyBorder="1" applyAlignment="1">
      <alignment horizontal="center" vertical="center"/>
    </xf>
    <xf numFmtId="4" fontId="2" fillId="37" borderId="20" xfId="0" applyNumberFormat="1" applyFont="1" applyFill="1" applyBorder="1" applyAlignment="1">
      <alignment horizontal="center" vertical="center" wrapText="1"/>
    </xf>
    <xf numFmtId="4" fontId="0" fillId="37" borderId="20" xfId="0" applyNumberFormat="1" applyFill="1" applyBorder="1" applyAlignment="1">
      <alignment horizontal="center" vertical="center" wrapText="1"/>
    </xf>
    <xf numFmtId="2" fontId="4" fillId="37" borderId="20" xfId="0" applyNumberFormat="1" applyFont="1" applyFill="1" applyBorder="1" applyAlignment="1">
      <alignment horizontal="center" vertical="center" wrapText="1"/>
    </xf>
    <xf numFmtId="2" fontId="0" fillId="37" borderId="20" xfId="0" applyNumberFormat="1" applyFont="1" applyFill="1" applyBorder="1" applyAlignment="1">
      <alignment horizontal="center" vertical="center" wrapText="1"/>
    </xf>
    <xf numFmtId="0" fontId="6" fillId="37" borderId="20" xfId="0" applyFont="1" applyFill="1" applyBorder="1" applyAlignment="1">
      <alignment/>
    </xf>
    <xf numFmtId="0" fontId="0" fillId="37" borderId="22" xfId="0" applyFill="1" applyBorder="1" applyAlignment="1">
      <alignment/>
    </xf>
    <xf numFmtId="0" fontId="1" fillId="37" borderId="19" xfId="0" applyFont="1" applyFill="1" applyBorder="1" applyAlignment="1">
      <alignment/>
    </xf>
    <xf numFmtId="0" fontId="1" fillId="37" borderId="0" xfId="0" applyFont="1" applyFill="1" applyBorder="1" applyAlignment="1">
      <alignment/>
    </xf>
    <xf numFmtId="0" fontId="0" fillId="37" borderId="23" xfId="0" applyFill="1" applyBorder="1" applyAlignment="1">
      <alignment/>
    </xf>
    <xf numFmtId="0" fontId="0" fillId="37" borderId="24" xfId="0" applyFill="1" applyBorder="1" applyAlignment="1">
      <alignment/>
    </xf>
    <xf numFmtId="0" fontId="4" fillId="37" borderId="19" xfId="0" applyFont="1" applyFill="1" applyBorder="1" applyAlignment="1">
      <alignment/>
    </xf>
    <xf numFmtId="4" fontId="0" fillId="37" borderId="25" xfId="0" applyNumberFormat="1" applyFill="1" applyBorder="1" applyAlignment="1">
      <alignment/>
    </xf>
    <xf numFmtId="2" fontId="0" fillId="37" borderId="12" xfId="0" applyNumberFormat="1" applyFill="1" applyBorder="1" applyAlignment="1">
      <alignment horizontal="center" vertical="center" wrapText="1"/>
    </xf>
    <xf numFmtId="0" fontId="0" fillId="37" borderId="20" xfId="0" applyFill="1" applyBorder="1" applyAlignment="1">
      <alignment horizontal="center" vertical="center"/>
    </xf>
    <xf numFmtId="0" fontId="0" fillId="37" borderId="17" xfId="0" applyFill="1" applyBorder="1" applyAlignment="1">
      <alignment horizontal="center" vertical="center"/>
    </xf>
    <xf numFmtId="0" fontId="0" fillId="37" borderId="11" xfId="0" applyFill="1" applyBorder="1" applyAlignment="1">
      <alignment horizontal="center" vertical="center"/>
    </xf>
    <xf numFmtId="0" fontId="0" fillId="37" borderId="19" xfId="0" applyFill="1" applyBorder="1" applyAlignment="1">
      <alignment horizontal="center" vertical="center"/>
    </xf>
    <xf numFmtId="0" fontId="2" fillId="37" borderId="0" xfId="0" applyFont="1" applyFill="1" applyAlignment="1">
      <alignment horizontal="center" vertical="center"/>
    </xf>
    <xf numFmtId="0" fontId="0" fillId="37" borderId="0" xfId="0" applyFill="1" applyAlignment="1">
      <alignment horizontal="center" vertical="center"/>
    </xf>
    <xf numFmtId="0" fontId="0" fillId="37" borderId="23" xfId="0" applyFill="1" applyBorder="1" applyAlignment="1">
      <alignment horizontal="center" vertical="center"/>
    </xf>
    <xf numFmtId="0" fontId="0" fillId="37" borderId="24" xfId="0" applyFill="1" applyBorder="1" applyAlignment="1">
      <alignment horizontal="center" vertical="center"/>
    </xf>
    <xf numFmtId="0" fontId="1" fillId="37" borderId="19" xfId="0" applyFont="1" applyFill="1" applyBorder="1" applyAlignment="1">
      <alignment horizontal="center" vertical="center"/>
    </xf>
    <xf numFmtId="0" fontId="0" fillId="37" borderId="0" xfId="0" applyFill="1" applyBorder="1" applyAlignment="1">
      <alignment horizontal="center" vertical="center"/>
    </xf>
    <xf numFmtId="4" fontId="1" fillId="37" borderId="0" xfId="0" applyNumberFormat="1" applyFont="1" applyFill="1" applyBorder="1" applyAlignment="1">
      <alignment horizontal="center" vertical="center"/>
    </xf>
    <xf numFmtId="49" fontId="1" fillId="37" borderId="0" xfId="0" applyNumberFormat="1" applyFont="1" applyFill="1" applyBorder="1" applyAlignment="1">
      <alignment horizontal="center" vertical="center"/>
    </xf>
    <xf numFmtId="0" fontId="1" fillId="37" borderId="20" xfId="0" applyFont="1" applyFill="1" applyBorder="1" applyAlignment="1">
      <alignment horizontal="center" vertical="center"/>
    </xf>
    <xf numFmtId="0" fontId="0" fillId="37" borderId="20" xfId="0" applyFont="1" applyFill="1" applyBorder="1" applyAlignment="1">
      <alignment/>
    </xf>
    <xf numFmtId="0" fontId="2" fillId="37" borderId="0" xfId="0" applyFont="1" applyFill="1" applyBorder="1" applyAlignment="1">
      <alignment/>
    </xf>
    <xf numFmtId="49" fontId="0" fillId="37" borderId="11" xfId="0" applyNumberFormat="1" applyFill="1" applyBorder="1" applyAlignment="1">
      <alignment/>
    </xf>
    <xf numFmtId="4" fontId="0" fillId="37" borderId="0" xfId="0" applyNumberFormat="1" applyFont="1" applyFill="1" applyBorder="1" applyAlignment="1">
      <alignment horizontal="right" vertical="center"/>
    </xf>
    <xf numFmtId="49" fontId="0" fillId="37" borderId="0" xfId="0" applyNumberFormat="1" applyFont="1" applyFill="1" applyBorder="1" applyAlignment="1">
      <alignment horizontal="left" vertical="center"/>
    </xf>
    <xf numFmtId="49" fontId="0" fillId="37" borderId="24" xfId="0" applyNumberFormat="1" applyFill="1" applyBorder="1" applyAlignment="1">
      <alignment/>
    </xf>
    <xf numFmtId="2" fontId="0" fillId="37" borderId="17" xfId="0" applyNumberFormat="1" applyFont="1" applyFill="1" applyBorder="1" applyAlignment="1">
      <alignment horizontal="center" vertical="center"/>
    </xf>
    <xf numFmtId="2" fontId="0" fillId="37" borderId="11" xfId="0" applyNumberFormat="1" applyFont="1" applyFill="1" applyBorder="1" applyAlignment="1">
      <alignment horizontal="center" vertical="center"/>
    </xf>
    <xf numFmtId="2" fontId="0" fillId="37" borderId="18" xfId="0" applyNumberFormat="1" applyFont="1" applyFill="1" applyBorder="1" applyAlignment="1">
      <alignment horizontal="center" vertical="center"/>
    </xf>
    <xf numFmtId="2" fontId="0" fillId="37" borderId="19" xfId="0" applyNumberFormat="1" applyFont="1" applyFill="1" applyBorder="1" applyAlignment="1">
      <alignment horizontal="center" vertical="center"/>
    </xf>
    <xf numFmtId="2" fontId="0" fillId="37" borderId="0" xfId="0" applyNumberFormat="1" applyFont="1" applyFill="1" applyAlignment="1">
      <alignment horizontal="center" vertical="center"/>
    </xf>
    <xf numFmtId="2" fontId="19" fillId="37" borderId="0" xfId="0" applyNumberFormat="1" applyFont="1" applyFill="1" applyAlignment="1">
      <alignment horizontal="center" vertical="center"/>
    </xf>
    <xf numFmtId="2" fontId="0" fillId="37" borderId="20" xfId="0" applyNumberFormat="1" applyFont="1" applyFill="1" applyBorder="1" applyAlignment="1">
      <alignment horizontal="center" vertical="center"/>
    </xf>
    <xf numFmtId="2" fontId="0" fillId="37" borderId="22" xfId="0" applyNumberFormat="1" applyFont="1" applyFill="1" applyBorder="1" applyAlignment="1">
      <alignment horizontal="center" vertical="center"/>
    </xf>
    <xf numFmtId="2" fontId="0" fillId="37" borderId="23" xfId="0" applyNumberFormat="1" applyFont="1" applyFill="1" applyBorder="1" applyAlignment="1">
      <alignment horizontal="center" vertical="center"/>
    </xf>
    <xf numFmtId="0" fontId="4" fillId="37" borderId="20" xfId="0" applyFont="1" applyFill="1" applyBorder="1" applyAlignment="1">
      <alignment/>
    </xf>
    <xf numFmtId="0" fontId="1" fillId="37" borderId="20" xfId="0" applyFont="1" applyFill="1" applyBorder="1" applyAlignment="1">
      <alignment/>
    </xf>
    <xf numFmtId="2" fontId="5" fillId="35" borderId="12" xfId="0" applyNumberFormat="1" applyFont="1" applyFill="1" applyBorder="1" applyAlignment="1">
      <alignment horizontal="center" vertical="center"/>
    </xf>
    <xf numFmtId="4" fontId="0" fillId="37" borderId="16" xfId="0" applyNumberFormat="1" applyFont="1" applyFill="1" applyBorder="1" applyAlignment="1">
      <alignment horizontal="center" vertical="top"/>
    </xf>
    <xf numFmtId="4" fontId="0" fillId="37" borderId="12" xfId="0" applyNumberFormat="1" applyFont="1" applyFill="1" applyBorder="1" applyAlignment="1">
      <alignment horizontal="center" vertical="top"/>
    </xf>
    <xf numFmtId="4" fontId="0" fillId="37" borderId="12" xfId="0" applyNumberFormat="1" applyFill="1" applyBorder="1" applyAlignment="1">
      <alignment horizontal="center" vertical="top"/>
    </xf>
    <xf numFmtId="2" fontId="0" fillId="37" borderId="0" xfId="0" applyNumberFormat="1" applyFill="1" applyBorder="1" applyAlignment="1" applyProtection="1">
      <alignment horizontal="center" vertical="center"/>
      <protection/>
    </xf>
    <xf numFmtId="2" fontId="0" fillId="37" borderId="0" xfId="0" applyNumberFormat="1" applyFont="1" applyFill="1" applyBorder="1" applyAlignment="1">
      <alignment horizontal="center" vertical="center"/>
    </xf>
    <xf numFmtId="2" fontId="0" fillId="37" borderId="0" xfId="0" applyNumberFormat="1" applyFont="1" applyFill="1" applyBorder="1" applyAlignment="1" applyProtection="1">
      <alignment horizontal="center" vertical="center"/>
      <protection/>
    </xf>
    <xf numFmtId="4" fontId="5" fillId="35" borderId="0" xfId="0" applyNumberFormat="1" applyFont="1" applyFill="1" applyBorder="1" applyAlignment="1">
      <alignment vertical="center"/>
    </xf>
    <xf numFmtId="4" fontId="0" fillId="37" borderId="0" xfId="0" applyNumberFormat="1" applyFill="1" applyBorder="1" applyAlignment="1">
      <alignment horizontal="left" vertical="center" wrapText="1"/>
    </xf>
    <xf numFmtId="4" fontId="0" fillId="37" borderId="0" xfId="0" applyNumberFormat="1" applyFill="1" applyBorder="1" applyAlignment="1">
      <alignment horizontal="left" vertical="center"/>
    </xf>
    <xf numFmtId="4" fontId="0" fillId="0" borderId="14" xfId="0" applyNumberFormat="1" applyFill="1" applyBorder="1" applyAlignment="1">
      <alignment horizontal="center" vertical="center" wrapText="1"/>
    </xf>
    <xf numFmtId="4" fontId="0" fillId="0" borderId="12" xfId="0" applyNumberFormat="1" applyBorder="1" applyAlignment="1">
      <alignment horizontal="center" vertical="center"/>
    </xf>
    <xf numFmtId="4" fontId="2" fillId="0" borderId="26" xfId="0" applyNumberFormat="1" applyFont="1" applyFill="1" applyBorder="1" applyAlignment="1">
      <alignment horizontal="center" vertical="center"/>
    </xf>
    <xf numFmtId="4" fontId="2" fillId="0" borderId="26"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0" fillId="37" borderId="0" xfId="0" applyFill="1" applyBorder="1" applyAlignment="1">
      <alignment horizontal="left" vertical="center"/>
    </xf>
    <xf numFmtId="0" fontId="0" fillId="0" borderId="0" xfId="0" applyFont="1" applyAlignment="1">
      <alignment vertical="center"/>
    </xf>
    <xf numFmtId="0" fontId="18" fillId="0" borderId="0" xfId="0" applyFont="1" applyAlignment="1">
      <alignment/>
    </xf>
    <xf numFmtId="4" fontId="0" fillId="38" borderId="12" xfId="0" applyNumberFormat="1" applyFill="1" applyBorder="1" applyAlignment="1">
      <alignment horizontal="center" vertical="center"/>
    </xf>
    <xf numFmtId="4" fontId="0" fillId="38" borderId="12" xfId="0" applyNumberFormat="1" applyFill="1" applyBorder="1" applyAlignment="1">
      <alignment horizontal="center" vertical="center" wrapText="1"/>
    </xf>
    <xf numFmtId="0" fontId="0" fillId="37" borderId="0" xfId="0" applyFill="1" applyBorder="1" applyAlignment="1">
      <alignment wrapText="1"/>
    </xf>
    <xf numFmtId="3" fontId="0" fillId="0" borderId="12" xfId="0" applyNumberFormat="1" applyFill="1" applyBorder="1" applyAlignment="1">
      <alignment horizontal="center" vertical="center" wrapText="1"/>
    </xf>
    <xf numFmtId="3" fontId="0" fillId="37" borderId="12" xfId="0" applyNumberFormat="1" applyFill="1" applyBorder="1" applyAlignment="1">
      <alignment horizontal="center" vertical="center" wrapText="1"/>
    </xf>
    <xf numFmtId="2" fontId="4" fillId="35" borderId="13" xfId="0" applyNumberFormat="1" applyFont="1" applyFill="1" applyBorder="1" applyAlignment="1">
      <alignment horizontal="center" vertical="center" wrapText="1"/>
    </xf>
    <xf numFmtId="4" fontId="0" fillId="38" borderId="12" xfId="0" applyNumberFormat="1" applyFont="1" applyFill="1" applyBorder="1" applyAlignment="1">
      <alignment horizontal="center" vertical="center" wrapText="1"/>
    </xf>
    <xf numFmtId="0" fontId="6" fillId="37" borderId="0" xfId="0" applyFont="1" applyFill="1" applyBorder="1" applyAlignment="1">
      <alignment/>
    </xf>
    <xf numFmtId="4" fontId="2" fillId="38" borderId="12" xfId="0" applyNumberFormat="1" applyFont="1" applyFill="1" applyBorder="1" applyAlignment="1">
      <alignment horizontal="center" vertical="center"/>
    </xf>
    <xf numFmtId="167" fontId="0" fillId="36" borderId="12" xfId="0" applyNumberFormat="1" applyFont="1" applyFill="1" applyBorder="1" applyAlignment="1">
      <alignment horizontal="center" vertical="center"/>
    </xf>
    <xf numFmtId="167" fontId="0" fillId="0" borderId="12" xfId="0" applyNumberFormat="1" applyFont="1" applyFill="1" applyBorder="1" applyAlignment="1">
      <alignment horizontal="center" vertical="center" wrapText="1"/>
    </xf>
    <xf numFmtId="2" fontId="0" fillId="37" borderId="0" xfId="0" applyNumberFormat="1" applyFont="1" applyFill="1" applyBorder="1" applyAlignment="1">
      <alignment horizontal="center" vertical="center" wrapText="1"/>
    </xf>
    <xf numFmtId="167" fontId="0" fillId="37" borderId="0" xfId="0" applyNumberFormat="1" applyFont="1" applyFill="1" applyBorder="1" applyAlignment="1">
      <alignment horizontal="center" vertical="center" wrapText="1"/>
    </xf>
    <xf numFmtId="0" fontId="5" fillId="35" borderId="0" xfId="0" applyFont="1" applyFill="1" applyBorder="1" applyAlignment="1">
      <alignment horizontal="center" vertical="center" wrapText="1"/>
    </xf>
    <xf numFmtId="0" fontId="0" fillId="37" borderId="0" xfId="0" applyFont="1" applyFill="1" applyAlignment="1">
      <alignment horizontal="left" vertical="center"/>
    </xf>
    <xf numFmtId="2" fontId="0" fillId="0" borderId="0" xfId="0" applyNumberFormat="1" applyFill="1" applyAlignment="1">
      <alignment/>
    </xf>
    <xf numFmtId="2" fontId="0" fillId="0" borderId="0" xfId="0" applyNumberFormat="1" applyFill="1" applyBorder="1" applyAlignment="1">
      <alignment horizontal="left"/>
    </xf>
    <xf numFmtId="2" fontId="0" fillId="37" borderId="11" xfId="0" applyNumberFormat="1" applyFill="1" applyBorder="1" applyAlignment="1">
      <alignment/>
    </xf>
    <xf numFmtId="2" fontId="0" fillId="37" borderId="21" xfId="0" applyNumberFormat="1" applyFont="1" applyFill="1" applyBorder="1" applyAlignment="1">
      <alignment/>
    </xf>
    <xf numFmtId="2" fontId="0" fillId="37" borderId="21" xfId="0" applyNumberFormat="1" applyFont="1" applyFill="1" applyBorder="1" applyAlignment="1">
      <alignment wrapText="1"/>
    </xf>
    <xf numFmtId="2" fontId="0" fillId="37" borderId="25" xfId="0" applyNumberFormat="1" applyFill="1" applyBorder="1" applyAlignment="1">
      <alignment/>
    </xf>
    <xf numFmtId="2" fontId="5" fillId="35" borderId="0" xfId="0" applyNumberFormat="1" applyFont="1" applyFill="1" applyBorder="1" applyAlignment="1">
      <alignment horizontal="center" vertical="center"/>
    </xf>
    <xf numFmtId="2" fontId="1" fillId="37" borderId="0" xfId="0" applyNumberFormat="1" applyFont="1" applyFill="1" applyBorder="1" applyAlignment="1">
      <alignment/>
    </xf>
    <xf numFmtId="2" fontId="0" fillId="37" borderId="24" xfId="0" applyNumberFormat="1" applyFill="1" applyBorder="1" applyAlignment="1">
      <alignment/>
    </xf>
    <xf numFmtId="2" fontId="0" fillId="37" borderId="0" xfId="0" applyNumberFormat="1" applyFill="1" applyBorder="1" applyAlignment="1">
      <alignment horizontal="center" vertical="center"/>
    </xf>
    <xf numFmtId="2" fontId="0" fillId="37" borderId="24" xfId="0" applyNumberFormat="1" applyFill="1" applyBorder="1" applyAlignment="1">
      <alignment horizontal="center" vertical="center"/>
    </xf>
    <xf numFmtId="2" fontId="3" fillId="0" borderId="0" xfId="0" applyNumberFormat="1" applyFont="1" applyFill="1" applyBorder="1" applyAlignment="1">
      <alignment/>
    </xf>
    <xf numFmtId="2" fontId="0" fillId="39" borderId="12" xfId="0" applyNumberFormat="1" applyFill="1" applyBorder="1" applyAlignment="1">
      <alignment/>
    </xf>
    <xf numFmtId="2" fontId="0" fillId="40" borderId="12" xfId="0" applyNumberFormat="1" applyFill="1" applyBorder="1" applyAlignment="1">
      <alignment/>
    </xf>
    <xf numFmtId="2" fontId="0" fillId="41" borderId="12" xfId="0" applyNumberFormat="1" applyFill="1" applyBorder="1" applyAlignment="1">
      <alignment/>
    </xf>
    <xf numFmtId="2" fontId="3" fillId="38" borderId="12" xfId="0" applyNumberFormat="1" applyFont="1" applyFill="1" applyBorder="1" applyAlignment="1">
      <alignment/>
    </xf>
    <xf numFmtId="2" fontId="2" fillId="0" borderId="12" xfId="0" applyNumberFormat="1" applyFont="1" applyFill="1" applyBorder="1" applyAlignment="1">
      <alignment horizontal="center" vertical="center"/>
    </xf>
    <xf numFmtId="2" fontId="0" fillId="0" borderId="13" xfId="0" applyNumberForma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2" fontId="0" fillId="0" borderId="0" xfId="0" applyNumberFormat="1" applyFill="1" applyBorder="1" applyAlignment="1">
      <alignment/>
    </xf>
    <xf numFmtId="0" fontId="0" fillId="0" borderId="12" xfId="0" applyFont="1" applyFill="1" applyBorder="1" applyAlignment="1">
      <alignment horizontal="center" vertical="center" wrapText="1"/>
    </xf>
    <xf numFmtId="2" fontId="0" fillId="0" borderId="12" xfId="0" applyNumberFormat="1" applyFont="1" applyFill="1" applyBorder="1" applyAlignment="1">
      <alignment horizontal="center" vertical="center"/>
    </xf>
    <xf numFmtId="0" fontId="0" fillId="37" borderId="19" xfId="0" applyFont="1" applyFill="1" applyBorder="1" applyAlignment="1">
      <alignment horizontal="center" vertical="center"/>
    </xf>
    <xf numFmtId="0" fontId="0" fillId="0" borderId="0" xfId="0" applyFont="1" applyFill="1" applyAlignment="1">
      <alignment/>
    </xf>
    <xf numFmtId="4" fontId="0" fillId="37" borderId="25" xfId="0" applyNumberFormat="1" applyFill="1" applyBorder="1" applyAlignment="1">
      <alignment vertical="top"/>
    </xf>
    <xf numFmtId="4" fontId="2" fillId="37" borderId="0" xfId="0" applyNumberFormat="1" applyFont="1" applyFill="1" applyBorder="1" applyAlignment="1">
      <alignment horizontal="center" vertical="center"/>
    </xf>
    <xf numFmtId="4" fontId="0" fillId="37" borderId="0" xfId="0" applyNumberFormat="1" applyFont="1" applyFill="1" applyBorder="1" applyAlignment="1">
      <alignment vertical="top"/>
    </xf>
    <xf numFmtId="4" fontId="5" fillId="35" borderId="14" xfId="0" applyNumberFormat="1" applyFont="1" applyFill="1" applyBorder="1" applyAlignment="1">
      <alignment horizontal="center" vertical="center"/>
    </xf>
    <xf numFmtId="0" fontId="13" fillId="0" borderId="0" xfId="0" applyFont="1" applyFill="1" applyBorder="1" applyAlignment="1">
      <alignment/>
    </xf>
    <xf numFmtId="0" fontId="13" fillId="0" borderId="0" xfId="0" applyFont="1" applyFill="1" applyAlignment="1">
      <alignment/>
    </xf>
    <xf numFmtId="0" fontId="2" fillId="0" borderId="0" xfId="0" applyFont="1" applyFill="1" applyAlignment="1">
      <alignment/>
    </xf>
    <xf numFmtId="0" fontId="21" fillId="0" borderId="0" xfId="0" applyFont="1" applyFill="1" applyBorder="1" applyAlignment="1">
      <alignment/>
    </xf>
    <xf numFmtId="4" fontId="0" fillId="0" borderId="12" xfId="0" applyNumberFormat="1" applyBorder="1" applyAlignment="1">
      <alignment horizontal="center" vertical="center" wrapText="1"/>
    </xf>
    <xf numFmtId="0" fontId="1" fillId="0" borderId="0" xfId="0" applyFont="1" applyAlignment="1">
      <alignment vertical="center"/>
    </xf>
    <xf numFmtId="0" fontId="1" fillId="0" borderId="0" xfId="0" applyFont="1" applyAlignment="1">
      <alignment horizontal="left" vertical="center"/>
    </xf>
    <xf numFmtId="0" fontId="0" fillId="0" borderId="6" xfId="0" applyFill="1" applyBorder="1" applyAlignment="1">
      <alignment/>
    </xf>
    <xf numFmtId="49" fontId="0" fillId="0" borderId="6" xfId="0" applyNumberFormat="1" applyFill="1" applyBorder="1" applyAlignment="1">
      <alignment/>
    </xf>
    <xf numFmtId="0" fontId="5" fillId="35" borderId="0" xfId="0" applyFont="1" applyFill="1" applyBorder="1" applyAlignment="1">
      <alignment horizontal="center" vertical="center"/>
    </xf>
    <xf numFmtId="0" fontId="0" fillId="0" borderId="0" xfId="0" applyAlignment="1">
      <alignment horizontal="center"/>
    </xf>
    <xf numFmtId="2" fontId="0" fillId="0" borderId="12" xfId="0" applyNumberFormat="1" applyFill="1" applyBorder="1" applyAlignment="1">
      <alignment horizontal="center" vertical="center" wrapText="1"/>
    </xf>
    <xf numFmtId="0" fontId="0" fillId="37" borderId="22" xfId="0" applyFill="1" applyBorder="1" applyAlignment="1">
      <alignment horizontal="center"/>
    </xf>
    <xf numFmtId="165" fontId="0" fillId="37" borderId="12" xfId="0" applyNumberFormat="1" applyFill="1" applyBorder="1" applyAlignment="1">
      <alignment horizontal="center" vertical="center" wrapText="1"/>
    </xf>
    <xf numFmtId="4" fontId="2" fillId="38" borderId="27" xfId="0" applyNumberFormat="1" applyFont="1" applyFill="1" applyBorder="1" applyAlignment="1">
      <alignment horizontal="center" vertical="center"/>
    </xf>
    <xf numFmtId="2" fontId="0" fillId="37" borderId="0" xfId="0" applyNumberFormat="1" applyFill="1" applyBorder="1" applyAlignment="1">
      <alignment/>
    </xf>
    <xf numFmtId="4" fontId="0" fillId="37" borderId="12" xfId="0" applyNumberFormat="1" applyFill="1" applyBorder="1" applyAlignment="1">
      <alignment horizontal="center" vertical="center" wrapText="1"/>
    </xf>
    <xf numFmtId="0" fontId="1" fillId="37" borderId="23" xfId="0" applyFont="1" applyFill="1" applyBorder="1" applyAlignment="1">
      <alignment/>
    </xf>
    <xf numFmtId="0" fontId="1" fillId="37" borderId="24" xfId="0" applyFont="1" applyFill="1" applyBorder="1" applyAlignment="1">
      <alignment/>
    </xf>
    <xf numFmtId="2" fontId="1" fillId="37" borderId="24" xfId="0" applyNumberFormat="1" applyFont="1" applyFill="1" applyBorder="1" applyAlignment="1">
      <alignment/>
    </xf>
    <xf numFmtId="0" fontId="0" fillId="37" borderId="22" xfId="0" applyFont="1" applyFill="1" applyBorder="1" applyAlignment="1">
      <alignment/>
    </xf>
    <xf numFmtId="168" fontId="0" fillId="37" borderId="12" xfId="0" applyNumberFormat="1" applyFill="1" applyBorder="1" applyAlignment="1">
      <alignment horizontal="center" vertical="center" wrapText="1"/>
    </xf>
    <xf numFmtId="168" fontId="0" fillId="38" borderId="12" xfId="0" applyNumberFormat="1" applyFont="1" applyFill="1" applyBorder="1" applyAlignment="1">
      <alignment horizontal="center" vertical="center" wrapText="1"/>
    </xf>
    <xf numFmtId="0" fontId="6" fillId="37" borderId="24" xfId="0" applyFont="1" applyFill="1" applyBorder="1" applyAlignment="1">
      <alignment/>
    </xf>
    <xf numFmtId="0" fontId="18" fillId="0" borderId="0" xfId="0" applyFont="1" applyBorder="1" applyAlignment="1">
      <alignment horizontal="center" vertical="top" wrapText="1"/>
    </xf>
    <xf numFmtId="0" fontId="0" fillId="37" borderId="11" xfId="0" applyFill="1" applyBorder="1" applyAlignment="1">
      <alignment wrapText="1"/>
    </xf>
    <xf numFmtId="0" fontId="0" fillId="37" borderId="18" xfId="0" applyFill="1" applyBorder="1" applyAlignment="1">
      <alignment wrapText="1"/>
    </xf>
    <xf numFmtId="0" fontId="0" fillId="37" borderId="20" xfId="0" applyFill="1" applyBorder="1" applyAlignment="1">
      <alignment wrapText="1"/>
    </xf>
    <xf numFmtId="0" fontId="0" fillId="37" borderId="23" xfId="0" applyFill="1" applyBorder="1" applyAlignment="1">
      <alignment wrapText="1"/>
    </xf>
    <xf numFmtId="0" fontId="0" fillId="37" borderId="24" xfId="0" applyFill="1" applyBorder="1" applyAlignment="1">
      <alignment wrapText="1"/>
    </xf>
    <xf numFmtId="0" fontId="0" fillId="37" borderId="22" xfId="0" applyFill="1" applyBorder="1" applyAlignment="1">
      <alignment wrapText="1"/>
    </xf>
    <xf numFmtId="0" fontId="0" fillId="38" borderId="28" xfId="0" applyFill="1" applyBorder="1" applyAlignment="1">
      <alignment wrapText="1"/>
    </xf>
    <xf numFmtId="0" fontId="0" fillId="38" borderId="29" xfId="0" applyFill="1" applyBorder="1" applyAlignment="1">
      <alignment wrapText="1"/>
    </xf>
    <xf numFmtId="0" fontId="0" fillId="38" borderId="30" xfId="0" applyFill="1" applyBorder="1" applyAlignment="1">
      <alignment wrapText="1"/>
    </xf>
    <xf numFmtId="0" fontId="1"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right"/>
    </xf>
    <xf numFmtId="0" fontId="1" fillId="40" borderId="12" xfId="0" applyFont="1" applyFill="1" applyBorder="1" applyAlignment="1">
      <alignment horizontal="left"/>
    </xf>
    <xf numFmtId="0" fontId="1" fillId="37" borderId="17" xfId="0" applyFont="1" applyFill="1" applyBorder="1" applyAlignment="1">
      <alignment/>
    </xf>
    <xf numFmtId="0" fontId="1" fillId="37" borderId="11" xfId="0" applyFont="1" applyFill="1" applyBorder="1" applyAlignment="1">
      <alignment/>
    </xf>
    <xf numFmtId="2" fontId="1" fillId="37" borderId="11" xfId="0" applyNumberFormat="1" applyFont="1" applyFill="1" applyBorder="1" applyAlignment="1">
      <alignment/>
    </xf>
    <xf numFmtId="0" fontId="6" fillId="37" borderId="11" xfId="0" applyFont="1" applyFill="1" applyBorder="1" applyAlignment="1">
      <alignment/>
    </xf>
    <xf numFmtId="0" fontId="0" fillId="37" borderId="18" xfId="0" applyFont="1" applyFill="1" applyBorder="1" applyAlignment="1">
      <alignment/>
    </xf>
    <xf numFmtId="2" fontId="0" fillId="38" borderId="12" xfId="0" applyNumberFormat="1" applyFill="1" applyBorder="1" applyAlignment="1">
      <alignment horizontal="center" vertical="center" wrapText="1"/>
    </xf>
    <xf numFmtId="168" fontId="0" fillId="38" borderId="12" xfId="0" applyNumberFormat="1" applyFill="1" applyBorder="1" applyAlignment="1">
      <alignment horizontal="center" vertical="center" wrapText="1"/>
    </xf>
    <xf numFmtId="2" fontId="2" fillId="0" borderId="14"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wrapText="1"/>
    </xf>
    <xf numFmtId="0" fontId="0" fillId="37" borderId="0" xfId="0" applyFill="1" applyAlignment="1">
      <alignment/>
    </xf>
    <xf numFmtId="0" fontId="0" fillId="37" borderId="31" xfId="0" applyFont="1" applyFill="1" applyBorder="1" applyAlignment="1">
      <alignment/>
    </xf>
    <xf numFmtId="0" fontId="2" fillId="37" borderId="11" xfId="0" applyNumberFormat="1" applyFont="1" applyFill="1" applyBorder="1" applyAlignment="1">
      <alignment horizontal="right" vertical="center"/>
    </xf>
    <xf numFmtId="0" fontId="0" fillId="37" borderId="11" xfId="0" applyFill="1" applyBorder="1" applyAlignment="1">
      <alignment/>
    </xf>
    <xf numFmtId="4" fontId="2" fillId="37" borderId="11" xfId="0" applyNumberFormat="1" applyFont="1" applyFill="1" applyBorder="1" applyAlignment="1">
      <alignment horizontal="center" vertical="center"/>
    </xf>
    <xf numFmtId="0" fontId="6" fillId="37" borderId="0" xfId="0" applyFont="1" applyFill="1" applyBorder="1" applyAlignment="1">
      <alignment vertical="top"/>
    </xf>
    <xf numFmtId="0" fontId="24" fillId="0" borderId="0" xfId="0" applyFont="1" applyFill="1" applyBorder="1" applyAlignment="1">
      <alignment horizontal="left"/>
    </xf>
    <xf numFmtId="0" fontId="0" fillId="0" borderId="0" xfId="0" applyAlignment="1">
      <alignment horizontal="center" vertical="center"/>
    </xf>
    <xf numFmtId="0" fontId="0" fillId="38" borderId="12" xfId="0" applyFill="1" applyBorder="1" applyAlignment="1">
      <alignment horizontal="center" vertical="center"/>
    </xf>
    <xf numFmtId="0" fontId="0" fillId="38" borderId="12" xfId="0" applyFill="1" applyBorder="1" applyAlignment="1">
      <alignment horizontal="center" vertical="center" wrapText="1"/>
    </xf>
    <xf numFmtId="0" fontId="0" fillId="38" borderId="12" xfId="0" applyFill="1" applyBorder="1" applyAlignment="1">
      <alignment/>
    </xf>
    <xf numFmtId="0" fontId="0" fillId="38" borderId="12" xfId="0" applyFill="1" applyBorder="1" applyAlignment="1">
      <alignment horizontal="center"/>
    </xf>
    <xf numFmtId="166" fontId="0" fillId="38" borderId="12" xfId="0" applyNumberFormat="1" applyFill="1" applyBorder="1" applyAlignment="1">
      <alignment horizontal="center"/>
    </xf>
    <xf numFmtId="166" fontId="0" fillId="38" borderId="12" xfId="0" applyNumberFormat="1" applyFill="1" applyBorder="1" applyAlignment="1">
      <alignment horizontal="right"/>
    </xf>
    <xf numFmtId="0" fontId="2" fillId="37" borderId="0" xfId="0" applyFont="1" applyFill="1" applyBorder="1" applyAlignment="1">
      <alignment wrapText="1"/>
    </xf>
    <xf numFmtId="0" fontId="4" fillId="37" borderId="0" xfId="0" applyFont="1" applyFill="1" applyBorder="1" applyAlignment="1">
      <alignment/>
    </xf>
    <xf numFmtId="0" fontId="1" fillId="37" borderId="0" xfId="0" applyFont="1" applyFill="1" applyBorder="1" applyAlignment="1">
      <alignment horizontal="right"/>
    </xf>
    <xf numFmtId="0" fontId="0" fillId="37" borderId="32" xfId="0" applyFill="1" applyBorder="1" applyAlignment="1">
      <alignment/>
    </xf>
    <xf numFmtId="0" fontId="0" fillId="37" borderId="32" xfId="0" applyFill="1" applyBorder="1" applyAlignment="1">
      <alignment horizontal="center"/>
    </xf>
    <xf numFmtId="0" fontId="0" fillId="37" borderId="19" xfId="0" applyFill="1" applyBorder="1" applyAlignment="1">
      <alignment horizontal="right" vertical="center"/>
    </xf>
    <xf numFmtId="0" fontId="0" fillId="37" borderId="12" xfId="0" applyFill="1" applyBorder="1" applyAlignment="1">
      <alignment horizontal="center" vertical="center" wrapText="1"/>
    </xf>
    <xf numFmtId="0" fontId="0" fillId="35" borderId="12" xfId="0" applyFill="1" applyBorder="1" applyAlignment="1">
      <alignment horizontal="center" vertical="center" wrapText="1"/>
    </xf>
    <xf numFmtId="0" fontId="18" fillId="37" borderId="17" xfId="0" applyFont="1" applyFill="1" applyBorder="1" applyAlignment="1">
      <alignment/>
    </xf>
    <xf numFmtId="0" fontId="25" fillId="37" borderId="19" xfId="0" applyFont="1" applyFill="1" applyBorder="1" applyAlignment="1">
      <alignment wrapText="1"/>
    </xf>
    <xf numFmtId="0" fontId="25" fillId="0" borderId="0" xfId="0" applyFont="1" applyBorder="1" applyAlignment="1">
      <alignment wrapText="1"/>
    </xf>
    <xf numFmtId="0" fontId="25" fillId="37" borderId="0" xfId="0" applyFont="1" applyFill="1" applyBorder="1" applyAlignment="1">
      <alignment wrapText="1"/>
    </xf>
    <xf numFmtId="0" fontId="0" fillId="37" borderId="33" xfId="0" applyFill="1" applyBorder="1" applyAlignment="1">
      <alignment/>
    </xf>
    <xf numFmtId="0" fontId="0" fillId="37" borderId="34" xfId="0" applyFill="1" applyBorder="1" applyAlignment="1">
      <alignment/>
    </xf>
    <xf numFmtId="0" fontId="0" fillId="37" borderId="35" xfId="0" applyFill="1" applyBorder="1" applyAlignment="1">
      <alignment/>
    </xf>
    <xf numFmtId="0" fontId="0" fillId="37" borderId="12" xfId="0" applyFill="1" applyBorder="1" applyAlignment="1">
      <alignment/>
    </xf>
    <xf numFmtId="2" fontId="0" fillId="37" borderId="12" xfId="0" applyNumberFormat="1" applyFill="1" applyBorder="1" applyAlignment="1">
      <alignment/>
    </xf>
    <xf numFmtId="0" fontId="2" fillId="36" borderId="36" xfId="0" applyFont="1" applyFill="1" applyBorder="1" applyAlignment="1">
      <alignment horizontal="center" vertical="center" wrapText="1"/>
    </xf>
    <xf numFmtId="0" fontId="5" fillId="35" borderId="20" xfId="0" applyFont="1" applyFill="1" applyBorder="1" applyAlignment="1">
      <alignment horizontal="center" vertical="center"/>
    </xf>
    <xf numFmtId="2" fontId="0" fillId="36" borderId="36" xfId="0" applyNumberFormat="1" applyFill="1" applyBorder="1" applyAlignment="1">
      <alignment horizontal="center" vertical="center" wrapText="1"/>
    </xf>
    <xf numFmtId="0" fontId="0" fillId="0" borderId="12" xfId="0" applyFill="1" applyBorder="1" applyAlignment="1">
      <alignment/>
    </xf>
    <xf numFmtId="0" fontId="2" fillId="0" borderId="12" xfId="0" applyFont="1" applyFill="1" applyBorder="1" applyAlignment="1">
      <alignment horizontal="center"/>
    </xf>
    <xf numFmtId="165" fontId="0" fillId="0" borderId="12" xfId="0" applyNumberFormat="1" applyFill="1" applyBorder="1" applyAlignment="1">
      <alignment horizontal="center" vertical="center" wrapText="1"/>
    </xf>
    <xf numFmtId="0" fontId="28" fillId="0" borderId="0" xfId="0" applyFont="1" applyAlignment="1">
      <alignment/>
    </xf>
    <xf numFmtId="164" fontId="0" fillId="0" borderId="12" xfId="0" applyNumberFormat="1" applyFill="1" applyBorder="1" applyAlignment="1">
      <alignment horizontal="center" vertical="center"/>
    </xf>
    <xf numFmtId="4" fontId="2" fillId="0" borderId="0" xfId="0" applyNumberFormat="1" applyFont="1" applyFill="1" applyBorder="1" applyAlignment="1">
      <alignment horizontal="center" vertical="center" wrapText="1"/>
    </xf>
    <xf numFmtId="0" fontId="0" fillId="37" borderId="24" xfId="0" applyFont="1" applyFill="1" applyBorder="1" applyAlignment="1">
      <alignment/>
    </xf>
    <xf numFmtId="0" fontId="0" fillId="37" borderId="11" xfId="0" applyFont="1" applyFill="1" applyBorder="1" applyAlignment="1">
      <alignment/>
    </xf>
    <xf numFmtId="2" fontId="0" fillId="37" borderId="0" xfId="0" applyNumberFormat="1" applyFont="1" applyFill="1" applyBorder="1" applyAlignment="1">
      <alignment horizontal="center" vertical="center" wrapText="1"/>
    </xf>
    <xf numFmtId="165" fontId="0" fillId="38" borderId="12" xfId="0" applyNumberFormat="1" applyFill="1" applyBorder="1" applyAlignment="1">
      <alignment horizontal="center" vertical="center" wrapText="1"/>
    </xf>
    <xf numFmtId="0" fontId="6" fillId="37" borderId="24" xfId="0" applyFont="1" applyFill="1" applyBorder="1" applyAlignment="1">
      <alignment vertical="center" wrapText="1"/>
    </xf>
    <xf numFmtId="0" fontId="1" fillId="37" borderId="0" xfId="0" applyFont="1" applyFill="1" applyBorder="1" applyAlignment="1">
      <alignment vertical="center"/>
    </xf>
    <xf numFmtId="0" fontId="1" fillId="0" borderId="0" xfId="0" applyFont="1" applyAlignment="1">
      <alignment/>
    </xf>
    <xf numFmtId="0" fontId="1" fillId="37" borderId="0" xfId="0" applyFont="1" applyFill="1" applyBorder="1" applyAlignment="1">
      <alignment horizontal="left" vertical="center"/>
    </xf>
    <xf numFmtId="0" fontId="1" fillId="37" borderId="20" xfId="0" applyFont="1" applyFill="1" applyBorder="1" applyAlignment="1">
      <alignment horizontal="left" vertical="center"/>
    </xf>
    <xf numFmtId="0" fontId="30" fillId="0" borderId="0" xfId="0" applyFont="1" applyAlignment="1">
      <alignment/>
    </xf>
    <xf numFmtId="0" fontId="30" fillId="0" borderId="0" xfId="0" applyFont="1" applyAlignment="1">
      <alignment wrapText="1"/>
    </xf>
    <xf numFmtId="0" fontId="29" fillId="37" borderId="0" xfId="0" applyFont="1" applyFill="1" applyBorder="1" applyAlignment="1">
      <alignment/>
    </xf>
    <xf numFmtId="0" fontId="14" fillId="37" borderId="17" xfId="0" applyFont="1" applyFill="1" applyBorder="1" applyAlignment="1">
      <alignment/>
    </xf>
    <xf numFmtId="0" fontId="18" fillId="37" borderId="11" xfId="0" applyFont="1" applyFill="1" applyBorder="1" applyAlignment="1">
      <alignment/>
    </xf>
    <xf numFmtId="0" fontId="14" fillId="37" borderId="11" xfId="0" applyFont="1" applyFill="1" applyBorder="1" applyAlignment="1">
      <alignment/>
    </xf>
    <xf numFmtId="0" fontId="14" fillId="37" borderId="18" xfId="0" applyFont="1" applyFill="1" applyBorder="1" applyAlignment="1">
      <alignment/>
    </xf>
    <xf numFmtId="0" fontId="14" fillId="37" borderId="19" xfId="0" applyFont="1" applyFill="1" applyBorder="1" applyAlignment="1">
      <alignment/>
    </xf>
    <xf numFmtId="0" fontId="15" fillId="37" borderId="0" xfId="0" applyFont="1" applyFill="1" applyBorder="1" applyAlignment="1">
      <alignment vertical="center"/>
    </xf>
    <xf numFmtId="0" fontId="14" fillId="37" borderId="0" xfId="0" applyFont="1" applyFill="1" applyBorder="1" applyAlignment="1">
      <alignment/>
    </xf>
    <xf numFmtId="0" fontId="14" fillId="37" borderId="20" xfId="0" applyFont="1" applyFill="1" applyBorder="1" applyAlignment="1">
      <alignment/>
    </xf>
    <xf numFmtId="0" fontId="0" fillId="37" borderId="19" xfId="0" applyFont="1" applyFill="1" applyBorder="1" applyAlignment="1">
      <alignment vertical="center"/>
    </xf>
    <xf numFmtId="0" fontId="0" fillId="37" borderId="19" xfId="0" applyFont="1" applyFill="1" applyBorder="1" applyAlignment="1">
      <alignment/>
    </xf>
    <xf numFmtId="0" fontId="0" fillId="37" borderId="23" xfId="0" applyFont="1" applyFill="1" applyBorder="1" applyAlignment="1">
      <alignment/>
    </xf>
    <xf numFmtId="0" fontId="1" fillId="37" borderId="24" xfId="0" applyFont="1" applyFill="1" applyBorder="1" applyAlignment="1">
      <alignment horizontal="left" vertical="center"/>
    </xf>
    <xf numFmtId="0" fontId="1" fillId="37" borderId="22" xfId="0" applyFont="1" applyFill="1" applyBorder="1" applyAlignment="1">
      <alignment horizontal="left" vertical="center"/>
    </xf>
    <xf numFmtId="0" fontId="23" fillId="0" borderId="0" xfId="0" applyFont="1" applyFill="1" applyBorder="1" applyAlignment="1">
      <alignment/>
    </xf>
    <xf numFmtId="0" fontId="1" fillId="37" borderId="0" xfId="0" applyFont="1" applyFill="1" applyBorder="1" applyAlignment="1">
      <alignment horizontal="left" vertical="top" wrapText="1"/>
    </xf>
    <xf numFmtId="0" fontId="1" fillId="37" borderId="0" xfId="0" applyFont="1" applyFill="1" applyBorder="1" applyAlignment="1">
      <alignment wrapText="1"/>
    </xf>
    <xf numFmtId="0" fontId="0" fillId="37" borderId="0" xfId="0" applyFill="1" applyBorder="1" applyAlignment="1">
      <alignment/>
    </xf>
    <xf numFmtId="0" fontId="0" fillId="37" borderId="20" xfId="0" applyFill="1" applyBorder="1" applyAlignment="1">
      <alignment/>
    </xf>
    <xf numFmtId="0" fontId="14" fillId="37" borderId="0" xfId="0" applyFont="1" applyFill="1" applyBorder="1" applyAlignment="1">
      <alignment vertical="center"/>
    </xf>
    <xf numFmtId="0" fontId="14" fillId="37" borderId="20" xfId="0" applyFont="1" applyFill="1" applyBorder="1" applyAlignment="1">
      <alignment vertical="center"/>
    </xf>
    <xf numFmtId="0" fontId="0" fillId="37" borderId="6" xfId="0" applyFill="1" applyBorder="1" applyAlignment="1">
      <alignment/>
    </xf>
    <xf numFmtId="4" fontId="0" fillId="0" borderId="21" xfId="0" applyNumberFormat="1" applyFill="1" applyBorder="1" applyAlignment="1">
      <alignment horizontal="center" vertical="center" wrapText="1"/>
    </xf>
    <xf numFmtId="4" fontId="0" fillId="0" borderId="21" xfId="0" applyNumberFormat="1" applyFill="1" applyBorder="1" applyAlignment="1">
      <alignment horizontal="center" vertical="center"/>
    </xf>
    <xf numFmtId="4" fontId="0" fillId="0" borderId="16" xfId="0" applyNumberFormat="1" applyFill="1" applyBorder="1" applyAlignment="1">
      <alignment horizontal="center" vertical="center" wrapText="1"/>
    </xf>
    <xf numFmtId="4" fontId="2" fillId="0" borderId="13" xfId="0" applyNumberFormat="1" applyFont="1" applyFill="1" applyBorder="1" applyAlignment="1">
      <alignment horizontal="center" vertical="center"/>
    </xf>
    <xf numFmtId="4" fontId="0" fillId="0" borderId="26" xfId="0" applyNumberFormat="1" applyFill="1" applyBorder="1" applyAlignment="1">
      <alignment horizontal="center" vertical="center" wrapText="1"/>
    </xf>
    <xf numFmtId="4" fontId="0" fillId="0" borderId="26" xfId="0" applyNumberFormat="1" applyFill="1" applyBorder="1" applyAlignment="1">
      <alignment horizontal="center" vertical="center"/>
    </xf>
    <xf numFmtId="0" fontId="0" fillId="37" borderId="0" xfId="0" applyFill="1" applyAlignment="1">
      <alignment/>
    </xf>
    <xf numFmtId="4" fontId="0" fillId="37" borderId="26" xfId="0" applyNumberFormat="1" applyFill="1" applyBorder="1" applyAlignment="1">
      <alignment horizontal="center" vertical="center" wrapText="1"/>
    </xf>
    <xf numFmtId="0" fontId="0" fillId="0" borderId="0" xfId="0" applyAlignment="1">
      <alignment/>
    </xf>
    <xf numFmtId="0" fontId="2" fillId="0" borderId="0" xfId="0" applyFont="1" applyAlignment="1">
      <alignment/>
    </xf>
    <xf numFmtId="0" fontId="12" fillId="0" borderId="0" xfId="0" applyFont="1" applyFill="1" applyAlignment="1">
      <alignment/>
    </xf>
    <xf numFmtId="4" fontId="12" fillId="0" borderId="0" xfId="0" applyNumberFormat="1" applyFont="1" applyFill="1" applyAlignment="1">
      <alignment/>
    </xf>
    <xf numFmtId="165" fontId="12" fillId="0" borderId="0" xfId="0" applyNumberFormat="1" applyFont="1" applyFill="1" applyAlignment="1">
      <alignment/>
    </xf>
    <xf numFmtId="0" fontId="45" fillId="0" borderId="0" xfId="0" applyFont="1" applyFill="1" applyAlignment="1">
      <alignment/>
    </xf>
    <xf numFmtId="0" fontId="45" fillId="0" borderId="0" xfId="0" applyFont="1" applyFill="1" applyBorder="1" applyAlignment="1">
      <alignment/>
    </xf>
    <xf numFmtId="0" fontId="47" fillId="0" borderId="0" xfId="0" applyFont="1" applyFill="1" applyBorder="1" applyAlignment="1">
      <alignment/>
    </xf>
    <xf numFmtId="0" fontId="47" fillId="0" borderId="0" xfId="0" applyFont="1" applyFill="1" applyBorder="1" applyAlignment="1">
      <alignment vertical="top"/>
    </xf>
    <xf numFmtId="0" fontId="47" fillId="0" borderId="0" xfId="0" applyFont="1" applyFill="1" applyAlignment="1">
      <alignment vertical="top"/>
    </xf>
    <xf numFmtId="0" fontId="51" fillId="42" borderId="0" xfId="0" applyFont="1" applyFill="1" applyAlignment="1">
      <alignment horizontal="center"/>
    </xf>
    <xf numFmtId="0" fontId="53" fillId="43" borderId="0" xfId="0" applyFont="1" applyFill="1" applyBorder="1" applyAlignment="1">
      <alignment/>
    </xf>
    <xf numFmtId="0" fontId="51" fillId="0" borderId="0" xfId="0" applyFont="1" applyFill="1" applyBorder="1" applyAlignment="1">
      <alignment horizontal="center"/>
    </xf>
    <xf numFmtId="0" fontId="51" fillId="0" borderId="0" xfId="0" applyFont="1" applyFill="1" applyAlignment="1">
      <alignment horizontal="center"/>
    </xf>
    <xf numFmtId="0" fontId="12" fillId="0" borderId="0" xfId="0" applyFont="1" applyFill="1" applyBorder="1" applyAlignment="1">
      <alignment/>
    </xf>
    <xf numFmtId="0" fontId="12" fillId="42" borderId="0" xfId="0" applyFont="1" applyFill="1" applyAlignment="1">
      <alignment/>
    </xf>
    <xf numFmtId="0" fontId="54" fillId="44" borderId="37" xfId="0" applyFont="1" applyFill="1" applyBorder="1" applyAlignment="1">
      <alignment vertical="center"/>
    </xf>
    <xf numFmtId="0" fontId="54" fillId="0" borderId="37" xfId="0" applyFont="1" applyFill="1" applyBorder="1" applyAlignment="1">
      <alignment vertical="center"/>
    </xf>
    <xf numFmtId="0" fontId="56" fillId="0" borderId="0" xfId="0" applyFont="1" applyFill="1" applyAlignment="1">
      <alignment/>
    </xf>
    <xf numFmtId="0" fontId="52" fillId="0" borderId="0" xfId="0" applyFont="1" applyFill="1" applyAlignment="1">
      <alignment/>
    </xf>
    <xf numFmtId="0" fontId="57" fillId="0" borderId="14" xfId="0" applyFont="1" applyFill="1" applyBorder="1" applyAlignment="1">
      <alignment/>
    </xf>
    <xf numFmtId="0" fontId="52" fillId="0" borderId="14" xfId="0" applyFont="1" applyFill="1" applyBorder="1" applyAlignment="1">
      <alignment/>
    </xf>
    <xf numFmtId="4" fontId="52" fillId="38" borderId="14" xfId="0" applyNumberFormat="1" applyFont="1" applyFill="1" applyBorder="1" applyAlignment="1">
      <alignment/>
    </xf>
    <xf numFmtId="0" fontId="52" fillId="0" borderId="0" xfId="0" applyFont="1" applyFill="1" applyBorder="1" applyAlignment="1">
      <alignment/>
    </xf>
    <xf numFmtId="0" fontId="57" fillId="0" borderId="12" xfId="0" applyFont="1" applyFill="1" applyBorder="1" applyAlignment="1">
      <alignment/>
    </xf>
    <xf numFmtId="0" fontId="52" fillId="0" borderId="12" xfId="0" applyFont="1" applyFill="1" applyBorder="1" applyAlignment="1">
      <alignment/>
    </xf>
    <xf numFmtId="4" fontId="52" fillId="38" borderId="12" xfId="0" applyNumberFormat="1" applyFont="1" applyFill="1" applyBorder="1" applyAlignment="1">
      <alignment/>
    </xf>
    <xf numFmtId="0" fontId="57" fillId="0" borderId="38" xfId="0" applyFont="1" applyFill="1" applyBorder="1" applyAlignment="1">
      <alignment/>
    </xf>
    <xf numFmtId="0" fontId="52" fillId="0" borderId="38" xfId="0" applyFont="1" applyFill="1" applyBorder="1" applyAlignment="1">
      <alignment/>
    </xf>
    <xf numFmtId="4" fontId="52" fillId="38" borderId="38" xfId="0" applyNumberFormat="1" applyFont="1" applyFill="1" applyBorder="1" applyAlignment="1">
      <alignment/>
    </xf>
    <xf numFmtId="0" fontId="57" fillId="0" borderId="13" xfId="0" applyFont="1" applyFill="1" applyBorder="1" applyAlignment="1">
      <alignment/>
    </xf>
    <xf numFmtId="0" fontId="52" fillId="0" borderId="13" xfId="0" applyFont="1" applyFill="1" applyBorder="1" applyAlignment="1">
      <alignment/>
    </xf>
    <xf numFmtId="4" fontId="52" fillId="38" borderId="13" xfId="0" applyNumberFormat="1" applyFont="1" applyFill="1" applyBorder="1" applyAlignment="1">
      <alignment/>
    </xf>
    <xf numFmtId="0" fontId="57" fillId="45" borderId="13" xfId="0" applyFont="1" applyFill="1" applyBorder="1" applyAlignment="1" applyProtection="1">
      <alignment/>
      <protection locked="0"/>
    </xf>
    <xf numFmtId="0" fontId="52" fillId="0" borderId="13" xfId="0" applyFont="1" applyFill="1" applyBorder="1" applyAlignment="1" applyProtection="1">
      <alignment/>
      <protection locked="0"/>
    </xf>
    <xf numFmtId="0" fontId="52" fillId="39" borderId="0" xfId="0" applyFont="1" applyFill="1" applyBorder="1" applyAlignment="1">
      <alignment/>
    </xf>
    <xf numFmtId="4" fontId="52" fillId="39" borderId="0" xfId="0" applyNumberFormat="1" applyFont="1" applyFill="1" applyBorder="1" applyAlignment="1">
      <alignment/>
    </xf>
    <xf numFmtId="0" fontId="57" fillId="45" borderId="0" xfId="0" applyFont="1" applyFill="1" applyBorder="1" applyAlignment="1">
      <alignment/>
    </xf>
    <xf numFmtId="167" fontId="52" fillId="45" borderId="0" xfId="0" applyNumberFormat="1" applyFont="1" applyFill="1" applyBorder="1" applyAlignment="1">
      <alignment/>
    </xf>
    <xf numFmtId="0" fontId="52" fillId="45" borderId="0" xfId="0" applyFont="1" applyFill="1" applyBorder="1" applyAlignment="1">
      <alignment/>
    </xf>
    <xf numFmtId="4" fontId="52" fillId="38" borderId="0" xfId="0" applyNumberFormat="1" applyFont="1" applyFill="1" applyBorder="1" applyAlignment="1">
      <alignment/>
    </xf>
    <xf numFmtId="165" fontId="52" fillId="38" borderId="26" xfId="0" applyNumberFormat="1" applyFont="1" applyFill="1" applyBorder="1" applyAlignment="1">
      <alignment/>
    </xf>
    <xf numFmtId="0" fontId="12" fillId="37" borderId="0" xfId="0" applyFont="1" applyFill="1" applyAlignment="1">
      <alignment/>
    </xf>
    <xf numFmtId="0" fontId="45" fillId="0" borderId="0" xfId="0" applyFont="1" applyFill="1" applyAlignment="1" applyProtection="1">
      <alignment/>
      <protection/>
    </xf>
    <xf numFmtId="0" fontId="45" fillId="0" borderId="0" xfId="0" applyFont="1" applyFill="1" applyBorder="1" applyAlignment="1" applyProtection="1">
      <alignment/>
      <protection/>
    </xf>
    <xf numFmtId="0" fontId="12" fillId="0" borderId="0" xfId="0" applyFont="1" applyFill="1" applyBorder="1" applyAlignment="1" applyProtection="1">
      <alignment/>
      <protection/>
    </xf>
    <xf numFmtId="4" fontId="0" fillId="0" borderId="13"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2" fontId="0" fillId="37" borderId="12" xfId="0" applyNumberFormat="1" applyFont="1" applyFill="1" applyBorder="1" applyAlignment="1">
      <alignment horizontal="center" vertical="center" wrapText="1"/>
    </xf>
    <xf numFmtId="4" fontId="2" fillId="38" borderId="13" xfId="0" applyNumberFormat="1" applyFont="1" applyFill="1" applyBorder="1" applyAlignment="1">
      <alignment horizontal="center" vertical="center"/>
    </xf>
    <xf numFmtId="0" fontId="0" fillId="0" borderId="20" xfId="0" applyFill="1" applyBorder="1" applyAlignment="1">
      <alignment/>
    </xf>
    <xf numFmtId="0" fontId="2" fillId="37" borderId="0" xfId="0" applyNumberFormat="1" applyFont="1" applyFill="1" applyBorder="1" applyAlignment="1">
      <alignment horizontal="right" vertical="center"/>
    </xf>
    <xf numFmtId="0" fontId="0" fillId="37" borderId="0" xfId="0" applyFill="1" applyBorder="1" applyAlignment="1">
      <alignment horizontal="right"/>
    </xf>
    <xf numFmtId="4" fontId="2" fillId="37" borderId="32" xfId="0" applyNumberFormat="1" applyFont="1" applyFill="1" applyBorder="1" applyAlignment="1">
      <alignment horizontal="center" vertical="center"/>
    </xf>
    <xf numFmtId="0" fontId="2" fillId="37" borderId="24" xfId="0" applyNumberFormat="1" applyFont="1" applyFill="1" applyBorder="1" applyAlignment="1">
      <alignment horizontal="right" vertical="center"/>
    </xf>
    <xf numFmtId="0" fontId="0" fillId="37" borderId="24" xfId="0" applyFill="1" applyBorder="1" applyAlignment="1">
      <alignment horizontal="right"/>
    </xf>
    <xf numFmtId="4" fontId="2" fillId="37" borderId="24" xfId="0" applyNumberFormat="1" applyFont="1" applyFill="1" applyBorder="1" applyAlignment="1">
      <alignment horizontal="center" vertical="center"/>
    </xf>
    <xf numFmtId="4" fontId="0" fillId="37" borderId="0" xfId="0" applyNumberFormat="1" applyFont="1" applyFill="1" applyBorder="1" applyAlignment="1">
      <alignment horizontal="center" vertical="center"/>
    </xf>
    <xf numFmtId="0" fontId="2" fillId="0" borderId="0" xfId="0" applyFont="1" applyFill="1" applyAlignment="1">
      <alignment wrapText="1"/>
    </xf>
    <xf numFmtId="0" fontId="0" fillId="0" borderId="39" xfId="0" applyBorder="1" applyAlignment="1">
      <alignment/>
    </xf>
    <xf numFmtId="0" fontId="51" fillId="36" borderId="0" xfId="0" applyFont="1" applyFill="1" applyBorder="1" applyAlignment="1">
      <alignment horizontal="center"/>
    </xf>
    <xf numFmtId="0" fontId="51" fillId="36" borderId="6" xfId="0" applyFont="1" applyFill="1" applyBorder="1" applyAlignment="1">
      <alignment horizontal="center"/>
    </xf>
    <xf numFmtId="4" fontId="51" fillId="36" borderId="0" xfId="0" applyNumberFormat="1" applyFont="1" applyFill="1" applyBorder="1" applyAlignment="1">
      <alignment horizontal="center"/>
    </xf>
    <xf numFmtId="0" fontId="12" fillId="36" borderId="0" xfId="0" applyFont="1" applyFill="1" applyBorder="1" applyAlignment="1">
      <alignment/>
    </xf>
    <xf numFmtId="4" fontId="51" fillId="36" borderId="15" xfId="0" applyNumberFormat="1" applyFont="1" applyFill="1" applyBorder="1" applyAlignment="1">
      <alignment horizontal="centerContinuous"/>
    </xf>
    <xf numFmtId="0" fontId="51" fillId="36" borderId="40" xfId="0" applyFont="1" applyFill="1" applyBorder="1" applyAlignment="1">
      <alignment horizontal="centerContinuous"/>
    </xf>
    <xf numFmtId="0" fontId="51" fillId="36" borderId="16" xfId="0" applyFont="1" applyFill="1" applyBorder="1" applyAlignment="1">
      <alignment horizontal="centerContinuous"/>
    </xf>
    <xf numFmtId="0" fontId="51" fillId="36" borderId="15" xfId="0" applyFont="1" applyFill="1" applyBorder="1" applyAlignment="1">
      <alignment horizontal="centerContinuous"/>
    </xf>
    <xf numFmtId="4" fontId="51" fillId="36" borderId="16" xfId="0" applyNumberFormat="1" applyFont="1" applyFill="1" applyBorder="1" applyAlignment="1">
      <alignment horizontal="centerContinuous"/>
    </xf>
    <xf numFmtId="165" fontId="51" fillId="36" borderId="12" xfId="0" applyNumberFormat="1" applyFont="1" applyFill="1" applyBorder="1" applyAlignment="1">
      <alignment horizontal="center"/>
    </xf>
    <xf numFmtId="0" fontId="51" fillId="36" borderId="0" xfId="0" applyFont="1" applyFill="1" applyBorder="1" applyAlignment="1">
      <alignment/>
    </xf>
    <xf numFmtId="4" fontId="51" fillId="36" borderId="41" xfId="0" applyNumberFormat="1" applyFont="1" applyFill="1" applyBorder="1" applyAlignment="1">
      <alignment/>
    </xf>
    <xf numFmtId="0" fontId="51" fillId="36" borderId="14" xfId="0" applyFont="1" applyFill="1" applyBorder="1" applyAlignment="1">
      <alignment/>
    </xf>
    <xf numFmtId="4" fontId="51" fillId="36" borderId="12" xfId="0" applyNumberFormat="1" applyFont="1" applyFill="1" applyBorder="1" applyAlignment="1">
      <alignment horizontal="center"/>
    </xf>
    <xf numFmtId="4" fontId="51" fillId="36" borderId="41" xfId="0" applyNumberFormat="1" applyFont="1" applyFill="1" applyBorder="1" applyAlignment="1">
      <alignment horizontal="center"/>
    </xf>
    <xf numFmtId="0" fontId="51" fillId="36" borderId="12" xfId="0" applyFont="1" applyFill="1" applyBorder="1" applyAlignment="1">
      <alignment horizontal="center"/>
    </xf>
    <xf numFmtId="0" fontId="12" fillId="36" borderId="13" xfId="0" applyFont="1" applyFill="1" applyBorder="1" applyAlignment="1">
      <alignment horizontal="center"/>
    </xf>
    <xf numFmtId="4" fontId="12" fillId="36" borderId="13" xfId="0" applyNumberFormat="1" applyFont="1" applyFill="1" applyBorder="1" applyAlignment="1">
      <alignment horizontal="center"/>
    </xf>
    <xf numFmtId="165" fontId="12" fillId="36" borderId="13" xfId="0" applyNumberFormat="1" applyFont="1" applyFill="1" applyBorder="1" applyAlignment="1">
      <alignment horizontal="center"/>
    </xf>
    <xf numFmtId="0" fontId="54" fillId="35" borderId="37" xfId="0" applyFont="1" applyFill="1" applyBorder="1" applyAlignment="1">
      <alignment vertical="center"/>
    </xf>
    <xf numFmtId="0" fontId="5" fillId="35" borderId="37" xfId="0" applyFont="1" applyFill="1" applyBorder="1" applyAlignment="1">
      <alignment vertical="center"/>
    </xf>
    <xf numFmtId="4" fontId="54" fillId="35" borderId="37" xfId="0" applyNumberFormat="1" applyFont="1" applyFill="1" applyBorder="1" applyAlignment="1">
      <alignment vertical="center"/>
    </xf>
    <xf numFmtId="167" fontId="54" fillId="35" borderId="37" xfId="0" applyNumberFormat="1" applyFont="1" applyFill="1" applyBorder="1" applyAlignment="1">
      <alignment vertical="center"/>
    </xf>
    <xf numFmtId="4" fontId="53" fillId="35" borderId="37" xfId="0" applyNumberFormat="1" applyFont="1" applyFill="1" applyBorder="1" applyAlignment="1">
      <alignment vertical="center"/>
    </xf>
    <xf numFmtId="1" fontId="54" fillId="35" borderId="37" xfId="0" applyNumberFormat="1" applyFont="1" applyFill="1" applyBorder="1" applyAlignment="1">
      <alignment vertical="center"/>
    </xf>
    <xf numFmtId="165" fontId="53" fillId="35" borderId="37" xfId="0" applyNumberFormat="1" applyFont="1" applyFill="1" applyBorder="1" applyAlignment="1">
      <alignment vertical="center"/>
    </xf>
    <xf numFmtId="0" fontId="4" fillId="35" borderId="37" xfId="0" applyFont="1" applyFill="1" applyBorder="1" applyAlignment="1">
      <alignment vertical="center"/>
    </xf>
    <xf numFmtId="0" fontId="54" fillId="0" borderId="0" xfId="0" applyFont="1" applyFill="1" applyBorder="1" applyAlignment="1">
      <alignment vertical="center"/>
    </xf>
    <xf numFmtId="0" fontId="45" fillId="37" borderId="0" xfId="0" applyFont="1" applyFill="1" applyBorder="1" applyAlignment="1">
      <alignment/>
    </xf>
    <xf numFmtId="0" fontId="45" fillId="37" borderId="0" xfId="0" applyFont="1" applyFill="1" applyAlignment="1">
      <alignment/>
    </xf>
    <xf numFmtId="4" fontId="45" fillId="37" borderId="0" xfId="0" applyNumberFormat="1" applyFont="1" applyFill="1" applyBorder="1" applyAlignment="1">
      <alignment/>
    </xf>
    <xf numFmtId="165" fontId="45" fillId="37" borderId="0" xfId="0" applyNumberFormat="1" applyFont="1" applyFill="1" applyBorder="1" applyAlignment="1">
      <alignment/>
    </xf>
    <xf numFmtId="0" fontId="46" fillId="37" borderId="0" xfId="0" applyFont="1" applyFill="1" applyBorder="1" applyAlignment="1">
      <alignment horizontal="left"/>
    </xf>
    <xf numFmtId="4" fontId="46" fillId="37" borderId="0" xfId="0" applyNumberFormat="1" applyFont="1" applyFill="1" applyBorder="1" applyAlignment="1">
      <alignment horizontal="left"/>
    </xf>
    <xf numFmtId="0" fontId="47" fillId="37" borderId="0" xfId="0" applyFont="1" applyFill="1" applyBorder="1" applyAlignment="1">
      <alignment/>
    </xf>
    <xf numFmtId="0" fontId="48" fillId="37" borderId="0" xfId="0" applyFont="1" applyFill="1" applyBorder="1" applyAlignment="1">
      <alignment/>
    </xf>
    <xf numFmtId="4" fontId="48" fillId="37" borderId="0" xfId="0" applyNumberFormat="1" applyFont="1" applyFill="1" applyBorder="1" applyAlignment="1">
      <alignment/>
    </xf>
    <xf numFmtId="165" fontId="48" fillId="37" borderId="0" xfId="0" applyNumberFormat="1" applyFont="1" applyFill="1" applyBorder="1" applyAlignment="1">
      <alignment/>
    </xf>
    <xf numFmtId="0" fontId="50" fillId="37" borderId="0" xfId="0" applyFont="1" applyFill="1" applyBorder="1" applyAlignment="1">
      <alignment vertical="top"/>
    </xf>
    <xf numFmtId="4" fontId="50" fillId="37" borderId="0" xfId="0" applyNumberFormat="1" applyFont="1" applyFill="1" applyBorder="1" applyAlignment="1">
      <alignment vertical="top"/>
    </xf>
    <xf numFmtId="0" fontId="47" fillId="37" borderId="0" xfId="0" applyFont="1" applyFill="1" applyBorder="1" applyAlignment="1">
      <alignment vertical="top"/>
    </xf>
    <xf numFmtId="4" fontId="47" fillId="37" borderId="0" xfId="0" applyNumberFormat="1" applyFont="1" applyFill="1" applyBorder="1" applyAlignment="1">
      <alignment vertical="top"/>
    </xf>
    <xf numFmtId="165" fontId="47" fillId="37" borderId="0" xfId="0" applyNumberFormat="1" applyFont="1" applyFill="1" applyBorder="1" applyAlignment="1">
      <alignment vertical="top"/>
    </xf>
    <xf numFmtId="0" fontId="52" fillId="37" borderId="0" xfId="0" applyFont="1" applyFill="1" applyBorder="1" applyAlignment="1">
      <alignment/>
    </xf>
    <xf numFmtId="0" fontId="54" fillId="37" borderId="0" xfId="0" applyFont="1" applyFill="1" applyBorder="1" applyAlignment="1">
      <alignment vertical="center"/>
    </xf>
    <xf numFmtId="0" fontId="51" fillId="37" borderId="0" xfId="0" applyFont="1" applyFill="1" applyBorder="1" applyAlignment="1">
      <alignment horizontal="center"/>
    </xf>
    <xf numFmtId="0" fontId="12" fillId="37" borderId="0" xfId="0" applyFont="1" applyFill="1" applyBorder="1" applyAlignment="1">
      <alignment/>
    </xf>
    <xf numFmtId="0" fontId="52" fillId="37" borderId="0" xfId="0" applyFont="1" applyFill="1" applyBorder="1" applyAlignment="1">
      <alignment/>
    </xf>
    <xf numFmtId="0" fontId="52" fillId="43" borderId="42" xfId="0" applyFont="1" applyFill="1" applyBorder="1" applyAlignment="1">
      <alignment/>
    </xf>
    <xf numFmtId="0" fontId="55" fillId="37" borderId="0" xfId="0" applyFont="1" applyFill="1" applyBorder="1" applyAlignment="1">
      <alignment vertical="center"/>
    </xf>
    <xf numFmtId="0" fontId="45" fillId="0" borderId="20" xfId="0" applyFont="1" applyFill="1" applyBorder="1" applyAlignment="1">
      <alignment/>
    </xf>
    <xf numFmtId="0" fontId="47" fillId="0" borderId="20" xfId="0" applyFont="1" applyFill="1" applyBorder="1" applyAlignment="1">
      <alignment/>
    </xf>
    <xf numFmtId="0" fontId="47" fillId="0" borderId="20" xfId="0" applyFont="1" applyFill="1" applyBorder="1" applyAlignment="1">
      <alignment vertical="top"/>
    </xf>
    <xf numFmtId="0" fontId="51" fillId="0" borderId="20" xfId="0" applyFont="1" applyFill="1" applyBorder="1" applyAlignment="1">
      <alignment horizontal="center"/>
    </xf>
    <xf numFmtId="0" fontId="12" fillId="0" borderId="20" xfId="0" applyFont="1" applyFill="1" applyBorder="1" applyAlignment="1">
      <alignment/>
    </xf>
    <xf numFmtId="0" fontId="54" fillId="0" borderId="43" xfId="0" applyFont="1" applyFill="1" applyBorder="1" applyAlignment="1">
      <alignment vertical="center"/>
    </xf>
    <xf numFmtId="0" fontId="56" fillId="0" borderId="20" xfId="0" applyFont="1" applyFill="1" applyBorder="1" applyAlignment="1">
      <alignment/>
    </xf>
    <xf numFmtId="0" fontId="52" fillId="0" borderId="20" xfId="0" applyFont="1" applyFill="1" applyBorder="1" applyAlignment="1">
      <alignment/>
    </xf>
    <xf numFmtId="0" fontId="54" fillId="0" borderId="44" xfId="0" applyFont="1" applyFill="1" applyBorder="1" applyAlignment="1">
      <alignment vertical="center"/>
    </xf>
    <xf numFmtId="0" fontId="12" fillId="0" borderId="24" xfId="0" applyFont="1" applyFill="1" applyBorder="1" applyAlignment="1">
      <alignment/>
    </xf>
    <xf numFmtId="4" fontId="12" fillId="0" borderId="24" xfId="0" applyNumberFormat="1" applyFont="1" applyFill="1" applyBorder="1" applyAlignment="1">
      <alignment/>
    </xf>
    <xf numFmtId="165" fontId="12" fillId="0" borderId="24" xfId="0" applyNumberFormat="1" applyFont="1" applyFill="1" applyBorder="1" applyAlignment="1">
      <alignment/>
    </xf>
    <xf numFmtId="0" fontId="45" fillId="37" borderId="18" xfId="0" applyFont="1" applyFill="1" applyBorder="1" applyAlignment="1">
      <alignment/>
    </xf>
    <xf numFmtId="0" fontId="45" fillId="37" borderId="20" xfId="0" applyFont="1" applyFill="1" applyBorder="1" applyAlignment="1">
      <alignment/>
    </xf>
    <xf numFmtId="0" fontId="47" fillId="37" borderId="20" xfId="0" applyFont="1" applyFill="1" applyBorder="1" applyAlignment="1">
      <alignment/>
    </xf>
    <xf numFmtId="0" fontId="47" fillId="37" borderId="20" xfId="0" applyFont="1" applyFill="1" applyBorder="1" applyAlignment="1">
      <alignment vertical="top"/>
    </xf>
    <xf numFmtId="0" fontId="51" fillId="37" borderId="20" xfId="0" applyFont="1" applyFill="1" applyBorder="1" applyAlignment="1">
      <alignment horizontal="center"/>
    </xf>
    <xf numFmtId="0" fontId="12" fillId="37" borderId="20" xfId="0" applyFont="1" applyFill="1" applyBorder="1" applyAlignment="1">
      <alignment/>
    </xf>
    <xf numFmtId="0" fontId="54" fillId="37" borderId="20" xfId="0" applyFont="1" applyFill="1" applyBorder="1" applyAlignment="1">
      <alignment vertical="center"/>
    </xf>
    <xf numFmtId="0" fontId="56" fillId="37" borderId="20" xfId="0" applyFont="1" applyFill="1" applyBorder="1" applyAlignment="1">
      <alignment/>
    </xf>
    <xf numFmtId="0" fontId="52" fillId="37" borderId="20" xfId="0" applyFont="1" applyFill="1" applyBorder="1" applyAlignment="1">
      <alignment/>
    </xf>
    <xf numFmtId="0" fontId="54" fillId="37" borderId="24" xfId="0" applyFont="1" applyFill="1" applyBorder="1" applyAlignment="1">
      <alignment vertical="center"/>
    </xf>
    <xf numFmtId="0" fontId="54" fillId="37" borderId="22" xfId="0" applyFont="1" applyFill="1" applyBorder="1" applyAlignment="1">
      <alignment vertical="center"/>
    </xf>
    <xf numFmtId="2" fontId="2" fillId="36" borderId="12" xfId="0" applyNumberFormat="1" applyFont="1" applyFill="1" applyBorder="1" applyAlignment="1">
      <alignment horizontal="center" vertical="center"/>
    </xf>
    <xf numFmtId="2" fontId="2" fillId="36" borderId="15" xfId="0" applyNumberFormat="1" applyFont="1" applyFill="1" applyBorder="1" applyAlignment="1">
      <alignment horizontal="center" vertical="center" wrapText="1"/>
    </xf>
    <xf numFmtId="2" fontId="2" fillId="36" borderId="16" xfId="0" applyNumberFormat="1" applyFont="1" applyFill="1" applyBorder="1" applyAlignment="1">
      <alignment horizontal="center" vertical="center"/>
    </xf>
    <xf numFmtId="2" fontId="2" fillId="36" borderId="12" xfId="0" applyNumberFormat="1" applyFont="1" applyFill="1" applyBorder="1" applyAlignment="1">
      <alignment horizontal="center" vertical="center" wrapText="1"/>
    </xf>
    <xf numFmtId="2" fontId="2" fillId="36" borderId="12" xfId="0" applyNumberFormat="1" applyFont="1" applyFill="1" applyBorder="1" applyAlignment="1" applyProtection="1">
      <alignment horizontal="center" vertical="center" wrapText="1"/>
      <protection/>
    </xf>
    <xf numFmtId="0" fontId="12" fillId="37" borderId="19" xfId="0" applyFont="1" applyFill="1" applyBorder="1" applyAlignment="1">
      <alignment/>
    </xf>
    <xf numFmtId="0" fontId="13" fillId="37" borderId="0" xfId="0" applyFont="1" applyFill="1" applyBorder="1" applyAlignment="1">
      <alignment/>
    </xf>
    <xf numFmtId="4" fontId="13" fillId="37" borderId="0" xfId="0" applyNumberFormat="1" applyFont="1" applyFill="1" applyBorder="1" applyAlignment="1">
      <alignment/>
    </xf>
    <xf numFmtId="4" fontId="12" fillId="37" borderId="0" xfId="0" applyNumberFormat="1" applyFont="1" applyFill="1" applyBorder="1" applyAlignment="1">
      <alignment/>
    </xf>
    <xf numFmtId="0" fontId="12" fillId="37" borderId="23" xfId="0" applyFont="1" applyFill="1" applyBorder="1" applyAlignment="1">
      <alignment/>
    </xf>
    <xf numFmtId="4" fontId="12" fillId="37" borderId="24" xfId="0" applyNumberFormat="1" applyFont="1" applyFill="1" applyBorder="1" applyAlignment="1">
      <alignment/>
    </xf>
    <xf numFmtId="0" fontId="12" fillId="37" borderId="24" xfId="0" applyFont="1" applyFill="1" applyBorder="1" applyAlignment="1">
      <alignment/>
    </xf>
    <xf numFmtId="2" fontId="0" fillId="36" borderId="12" xfId="0" applyNumberFormat="1" applyFont="1" applyFill="1" applyBorder="1" applyAlignment="1">
      <alignment horizontal="left" vertical="center"/>
    </xf>
    <xf numFmtId="167" fontId="0" fillId="36" borderId="12" xfId="0" applyNumberFormat="1" applyFill="1" applyBorder="1" applyAlignment="1">
      <alignment vertical="center"/>
    </xf>
    <xf numFmtId="0" fontId="0" fillId="36" borderId="12" xfId="0" applyFill="1" applyBorder="1" applyAlignment="1">
      <alignment horizontal="left" vertical="center" wrapText="1"/>
    </xf>
    <xf numFmtId="2" fontId="0" fillId="36" borderId="12" xfId="0" applyNumberFormat="1" applyFont="1" applyFill="1" applyBorder="1" applyAlignment="1">
      <alignment horizontal="left" vertical="center" wrapText="1"/>
    </xf>
    <xf numFmtId="2" fontId="0" fillId="36" borderId="15" xfId="0" applyNumberFormat="1" applyFont="1" applyFill="1" applyBorder="1" applyAlignment="1">
      <alignment horizontal="center" vertical="center"/>
    </xf>
    <xf numFmtId="167" fontId="0" fillId="36" borderId="13" xfId="0" applyNumberFormat="1" applyFont="1" applyFill="1" applyBorder="1" applyAlignment="1">
      <alignment horizontal="center" vertical="center" wrapText="1"/>
    </xf>
    <xf numFmtId="0" fontId="12" fillId="36" borderId="14" xfId="0" applyFont="1" applyFill="1" applyBorder="1" applyAlignment="1">
      <alignment/>
    </xf>
    <xf numFmtId="0" fontId="62" fillId="37" borderId="0" xfId="0" applyFont="1" applyFill="1" applyBorder="1" applyAlignment="1" applyProtection="1">
      <alignment horizontal="left"/>
      <protection/>
    </xf>
    <xf numFmtId="0" fontId="46" fillId="37" borderId="0" xfId="0" applyFont="1" applyFill="1" applyBorder="1" applyAlignment="1" applyProtection="1">
      <alignment horizontal="left"/>
      <protection/>
    </xf>
    <xf numFmtId="0" fontId="47" fillId="37" borderId="0" xfId="0" applyFont="1" applyFill="1" applyBorder="1" applyAlignment="1" applyProtection="1">
      <alignment/>
      <protection/>
    </xf>
    <xf numFmtId="0" fontId="48" fillId="37" borderId="0" xfId="0" applyFont="1" applyFill="1" applyBorder="1" applyAlignment="1" applyProtection="1">
      <alignment/>
      <protection/>
    </xf>
    <xf numFmtId="164" fontId="48" fillId="37" borderId="0" xfId="0" applyNumberFormat="1" applyFont="1" applyFill="1" applyBorder="1" applyAlignment="1" applyProtection="1">
      <alignment/>
      <protection/>
    </xf>
    <xf numFmtId="0" fontId="0" fillId="37" borderId="0" xfId="0" applyFill="1" applyBorder="1" applyAlignment="1">
      <alignment horizontal="left"/>
    </xf>
    <xf numFmtId="2" fontId="0" fillId="37" borderId="0" xfId="0" applyNumberFormat="1" applyFill="1" applyBorder="1" applyAlignment="1">
      <alignment horizontal="left"/>
    </xf>
    <xf numFmtId="2" fontId="3" fillId="37" borderId="0" xfId="0" applyNumberFormat="1" applyFont="1" applyFill="1" applyBorder="1" applyAlignment="1">
      <alignment/>
    </xf>
    <xf numFmtId="0" fontId="0" fillId="0" borderId="24" xfId="0" applyFill="1" applyBorder="1" applyAlignment="1">
      <alignment horizontal="left"/>
    </xf>
    <xf numFmtId="2" fontId="0" fillId="0" borderId="24" xfId="0" applyNumberFormat="1" applyFill="1" applyBorder="1" applyAlignment="1">
      <alignment horizontal="left"/>
    </xf>
    <xf numFmtId="2" fontId="3" fillId="0" borderId="24" xfId="0" applyNumberFormat="1" applyFont="1" applyFill="1" applyBorder="1" applyAlignment="1">
      <alignment/>
    </xf>
    <xf numFmtId="2" fontId="0" fillId="0" borderId="24" xfId="0" applyNumberFormat="1" applyFill="1" applyBorder="1" applyAlignment="1">
      <alignment/>
    </xf>
    <xf numFmtId="0" fontId="0" fillId="0" borderId="24" xfId="0" applyFill="1" applyBorder="1" applyAlignment="1">
      <alignment/>
    </xf>
    <xf numFmtId="0" fontId="18" fillId="37" borderId="19" xfId="0" applyFont="1" applyFill="1" applyBorder="1" applyAlignment="1">
      <alignment/>
    </xf>
    <xf numFmtId="0" fontId="12" fillId="37" borderId="17" xfId="0" applyFont="1" applyFill="1" applyBorder="1" applyAlignment="1">
      <alignment/>
    </xf>
    <xf numFmtId="0" fontId="12" fillId="37" borderId="11" xfId="0" applyFont="1" applyFill="1" applyBorder="1" applyAlignment="1">
      <alignment/>
    </xf>
    <xf numFmtId="4" fontId="12" fillId="37" borderId="11" xfId="0" applyNumberFormat="1" applyFont="1" applyFill="1" applyBorder="1" applyAlignment="1">
      <alignment/>
    </xf>
    <xf numFmtId="0" fontId="18" fillId="37" borderId="0" xfId="0" applyFont="1" applyFill="1" applyBorder="1" applyAlignment="1">
      <alignment/>
    </xf>
    <xf numFmtId="165" fontId="12" fillId="37" borderId="18" xfId="0" applyNumberFormat="1" applyFont="1" applyFill="1" applyBorder="1" applyAlignment="1">
      <alignment/>
    </xf>
    <xf numFmtId="165" fontId="12" fillId="37" borderId="20" xfId="0" applyNumberFormat="1" applyFont="1" applyFill="1" applyBorder="1" applyAlignment="1">
      <alignment/>
    </xf>
    <xf numFmtId="165" fontId="12" fillId="37" borderId="22" xfId="0" applyNumberFormat="1" applyFont="1" applyFill="1" applyBorder="1" applyAlignment="1">
      <alignment/>
    </xf>
    <xf numFmtId="4" fontId="2" fillId="37" borderId="0" xfId="0" applyNumberFormat="1" applyFont="1" applyFill="1" applyBorder="1" applyAlignment="1">
      <alignment horizontal="center" vertical="center"/>
    </xf>
    <xf numFmtId="4" fontId="0" fillId="37" borderId="0" xfId="0" applyNumberFormat="1" applyFill="1" applyBorder="1" applyAlignment="1">
      <alignment horizontal="center" vertical="center" wrapText="1"/>
    </xf>
    <xf numFmtId="4" fontId="0" fillId="37" borderId="0" xfId="0" applyNumberFormat="1" applyFill="1" applyBorder="1" applyAlignment="1">
      <alignment horizontal="center" vertical="center"/>
    </xf>
    <xf numFmtId="2" fontId="2" fillId="40" borderId="12" xfId="0" applyNumberFormat="1" applyFont="1" applyFill="1" applyBorder="1" applyAlignment="1">
      <alignment/>
    </xf>
    <xf numFmtId="0" fontId="5" fillId="37" borderId="19" xfId="0" applyFont="1" applyFill="1" applyBorder="1" applyAlignment="1">
      <alignment vertical="center"/>
    </xf>
    <xf numFmtId="0" fontId="53" fillId="37" borderId="0" xfId="0" applyFont="1" applyFill="1" applyBorder="1" applyAlignment="1">
      <alignment vertical="center"/>
    </xf>
    <xf numFmtId="167" fontId="54" fillId="37" borderId="0" xfId="0" applyNumberFormat="1" applyFont="1" applyFill="1" applyBorder="1" applyAlignment="1">
      <alignment vertical="center"/>
    </xf>
    <xf numFmtId="165" fontId="53" fillId="37" borderId="0" xfId="0" applyNumberFormat="1" applyFont="1" applyFill="1" applyBorder="1" applyAlignment="1">
      <alignment vertical="center"/>
    </xf>
    <xf numFmtId="0" fontId="0" fillId="36" borderId="45" xfId="0" applyFill="1" applyBorder="1" applyAlignment="1">
      <alignment horizontal="center" vertical="center"/>
    </xf>
    <xf numFmtId="0" fontId="0" fillId="36" borderId="46" xfId="0" applyFill="1" applyBorder="1" applyAlignment="1">
      <alignment horizontal="center" vertical="center"/>
    </xf>
    <xf numFmtId="0" fontId="0" fillId="36" borderId="32" xfId="0" applyFill="1" applyBorder="1" applyAlignment="1">
      <alignment horizontal="center" vertical="center"/>
    </xf>
    <xf numFmtId="0" fontId="2" fillId="36" borderId="26" xfId="0" applyFont="1" applyFill="1" applyBorder="1" applyAlignment="1">
      <alignment horizontal="center" vertical="center"/>
    </xf>
    <xf numFmtId="0" fontId="6" fillId="37" borderId="11" xfId="0" applyFont="1" applyFill="1" applyBorder="1" applyAlignment="1">
      <alignment vertical="center"/>
    </xf>
    <xf numFmtId="0" fontId="0" fillId="37" borderId="0" xfId="0" applyFill="1" applyBorder="1" applyAlignment="1">
      <alignment vertical="center"/>
    </xf>
    <xf numFmtId="0" fontId="0" fillId="37" borderId="24" xfId="0" applyFill="1" applyBorder="1" applyAlignment="1">
      <alignment horizontal="center"/>
    </xf>
    <xf numFmtId="0" fontId="0" fillId="0" borderId="23" xfId="0" applyFill="1" applyBorder="1" applyAlignment="1">
      <alignment/>
    </xf>
    <xf numFmtId="0" fontId="0" fillId="0" borderId="22" xfId="0" applyFill="1" applyBorder="1" applyAlignment="1">
      <alignment/>
    </xf>
    <xf numFmtId="0" fontId="0" fillId="0" borderId="11" xfId="0" applyFill="1" applyBorder="1" applyAlignment="1">
      <alignment/>
    </xf>
    <xf numFmtId="0" fontId="30" fillId="0" borderId="0" xfId="0" applyFont="1" applyAlignment="1">
      <alignment/>
    </xf>
    <xf numFmtId="0" fontId="30" fillId="0" borderId="6" xfId="0" applyFont="1" applyBorder="1" applyAlignment="1">
      <alignment/>
    </xf>
    <xf numFmtId="0" fontId="6" fillId="0" borderId="11" xfId="0" applyFont="1" applyFill="1" applyBorder="1" applyAlignment="1">
      <alignment/>
    </xf>
    <xf numFmtId="0" fontId="18" fillId="0" borderId="11" xfId="0" applyFont="1" applyFill="1" applyBorder="1" applyAlignment="1">
      <alignment horizontal="center"/>
    </xf>
    <xf numFmtId="2" fontId="0" fillId="0" borderId="11" xfId="0" applyNumberFormat="1" applyFill="1" applyBorder="1" applyAlignment="1">
      <alignment/>
    </xf>
    <xf numFmtId="2" fontId="0" fillId="0" borderId="18" xfId="0" applyNumberFormat="1" applyFill="1" applyBorder="1" applyAlignment="1">
      <alignment/>
    </xf>
    <xf numFmtId="2" fontId="0" fillId="0" borderId="20" xfId="0" applyNumberFormat="1" applyFill="1" applyBorder="1" applyAlignment="1">
      <alignment/>
    </xf>
    <xf numFmtId="0" fontId="0" fillId="0" borderId="19" xfId="0" applyFill="1" applyBorder="1" applyAlignment="1">
      <alignment/>
    </xf>
    <xf numFmtId="0" fontId="2" fillId="0" borderId="17" xfId="0" applyFont="1" applyFill="1" applyBorder="1" applyAlignment="1">
      <alignment vertical="center"/>
    </xf>
    <xf numFmtId="0" fontId="0" fillId="0" borderId="23" xfId="0" applyFill="1" applyBorder="1" applyAlignment="1">
      <alignment horizontal="left"/>
    </xf>
    <xf numFmtId="2" fontId="2" fillId="0" borderId="20" xfId="0" applyNumberFormat="1" applyFont="1" applyFill="1" applyBorder="1" applyAlignment="1">
      <alignment/>
    </xf>
    <xf numFmtId="2" fontId="0" fillId="0" borderId="22" xfId="0" applyNumberFormat="1" applyFill="1" applyBorder="1" applyAlignment="1">
      <alignment horizontal="left"/>
    </xf>
    <xf numFmtId="0" fontId="0" fillId="0" borderId="18" xfId="0" applyFill="1" applyBorder="1" applyAlignment="1">
      <alignment/>
    </xf>
    <xf numFmtId="0" fontId="2" fillId="0" borderId="24" xfId="0" applyFont="1" applyFill="1" applyBorder="1" applyAlignment="1">
      <alignment wrapText="1"/>
    </xf>
    <xf numFmtId="0" fontId="0" fillId="0" borderId="24" xfId="0" applyBorder="1" applyAlignment="1">
      <alignment/>
    </xf>
    <xf numFmtId="0" fontId="0" fillId="0" borderId="22" xfId="0" applyBorder="1" applyAlignment="1">
      <alignment/>
    </xf>
    <xf numFmtId="0" fontId="63" fillId="0" borderId="0" xfId="0" applyFont="1" applyFill="1" applyAlignment="1">
      <alignment/>
    </xf>
    <xf numFmtId="0" fontId="64" fillId="0" borderId="0" xfId="0" applyFont="1" applyAlignment="1">
      <alignment/>
    </xf>
    <xf numFmtId="0" fontId="63" fillId="0" borderId="0" xfId="0" applyFont="1" applyFill="1" applyBorder="1" applyAlignment="1">
      <alignment wrapText="1"/>
    </xf>
    <xf numFmtId="0" fontId="65" fillId="0" borderId="0" xfId="0" applyFont="1" applyAlignment="1">
      <alignment/>
    </xf>
    <xf numFmtId="0" fontId="63" fillId="0" borderId="0" xfId="0" applyFont="1" applyFill="1" applyBorder="1" applyAlignment="1">
      <alignment/>
    </xf>
    <xf numFmtId="0" fontId="12" fillId="0" borderId="23" xfId="0" applyFont="1" applyFill="1" applyBorder="1" applyAlignment="1">
      <alignment/>
    </xf>
    <xf numFmtId="0" fontId="56" fillId="37" borderId="47" xfId="0" applyFont="1" applyFill="1" applyBorder="1" applyAlignment="1" applyProtection="1">
      <alignment/>
      <protection locked="0"/>
    </xf>
    <xf numFmtId="4" fontId="56" fillId="37" borderId="47" xfId="0" applyNumberFormat="1" applyFont="1" applyFill="1" applyBorder="1" applyAlignment="1" applyProtection="1">
      <alignment/>
      <protection locked="0"/>
    </xf>
    <xf numFmtId="0" fontId="68" fillId="37" borderId="47" xfId="0" applyFont="1" applyFill="1" applyBorder="1" applyAlignment="1">
      <alignment/>
    </xf>
    <xf numFmtId="0" fontId="56" fillId="37" borderId="47" xfId="0" applyFont="1" applyFill="1" applyBorder="1" applyAlignment="1">
      <alignment/>
    </xf>
    <xf numFmtId="0" fontId="58" fillId="37" borderId="48" xfId="0" applyFont="1" applyFill="1" applyBorder="1" applyAlignment="1">
      <alignment/>
    </xf>
    <xf numFmtId="4" fontId="52" fillId="37" borderId="47" xfId="0" applyNumberFormat="1" applyFont="1" applyFill="1" applyBorder="1" applyAlignment="1">
      <alignment/>
    </xf>
    <xf numFmtId="165" fontId="52" fillId="37" borderId="14" xfId="0" applyNumberFormat="1" applyFont="1" applyFill="1" applyBorder="1" applyAlignment="1">
      <alignment/>
    </xf>
    <xf numFmtId="0" fontId="0" fillId="0" borderId="0" xfId="0" applyFill="1" applyAlignment="1">
      <alignment wrapText="1"/>
    </xf>
    <xf numFmtId="0" fontId="0" fillId="0" borderId="0" xfId="0" applyFill="1" applyBorder="1" applyAlignment="1">
      <alignment wrapText="1"/>
    </xf>
    <xf numFmtId="0" fontId="0" fillId="0" borderId="49" xfId="0" applyFill="1" applyBorder="1" applyAlignment="1">
      <alignment wrapText="1"/>
    </xf>
    <xf numFmtId="0" fontId="0" fillId="0" borderId="50" xfId="0" applyFill="1" applyBorder="1" applyAlignment="1">
      <alignment wrapText="1"/>
    </xf>
    <xf numFmtId="0" fontId="0" fillId="0" borderId="49" xfId="0" applyFill="1" applyBorder="1" applyAlignment="1">
      <alignment/>
    </xf>
    <xf numFmtId="0" fontId="0" fillId="0" borderId="50" xfId="0" applyFill="1" applyBorder="1" applyAlignment="1">
      <alignment/>
    </xf>
    <xf numFmtId="4" fontId="0" fillId="35" borderId="26" xfId="0" applyNumberFormat="1" applyFill="1" applyBorder="1" applyAlignment="1">
      <alignment horizontal="center" vertical="center" wrapText="1"/>
    </xf>
    <xf numFmtId="2" fontId="0" fillId="35" borderId="12" xfId="0" applyNumberFormat="1" applyFont="1" applyFill="1" applyBorder="1" applyAlignment="1">
      <alignment horizontal="center" vertical="center" wrapText="1"/>
    </xf>
    <xf numFmtId="4" fontId="0" fillId="35" borderId="12" xfId="0" applyNumberFormat="1" applyFill="1" applyBorder="1" applyAlignment="1">
      <alignment horizontal="center" vertical="center" wrapText="1"/>
    </xf>
    <xf numFmtId="2" fontId="0" fillId="38" borderId="12" xfId="0" applyNumberFormat="1" applyFont="1" applyFill="1" applyBorder="1" applyAlignment="1">
      <alignment horizontal="center" vertical="center" wrapText="1"/>
    </xf>
    <xf numFmtId="0" fontId="23" fillId="37" borderId="0" xfId="0" applyNumberFormat="1" applyFont="1" applyFill="1" applyBorder="1" applyAlignment="1">
      <alignment horizontal="left" vertical="center"/>
    </xf>
    <xf numFmtId="0" fontId="2" fillId="36" borderId="41"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21" xfId="0" applyFont="1" applyFill="1" applyBorder="1" applyAlignment="1">
      <alignment horizontal="center" vertical="center"/>
    </xf>
    <xf numFmtId="0" fontId="47" fillId="37" borderId="41" xfId="0" applyFont="1" applyFill="1" applyBorder="1" applyAlignment="1">
      <alignment vertical="top"/>
    </xf>
    <xf numFmtId="0" fontId="52" fillId="37" borderId="41" xfId="0" applyFont="1" applyFill="1" applyBorder="1" applyAlignment="1">
      <alignment/>
    </xf>
    <xf numFmtId="0" fontId="5" fillId="37" borderId="17" xfId="0" applyFont="1" applyFill="1" applyBorder="1" applyAlignment="1">
      <alignment vertical="center"/>
    </xf>
    <xf numFmtId="0" fontId="53" fillId="37" borderId="11" xfId="0" applyFont="1" applyFill="1" applyBorder="1" applyAlignment="1">
      <alignment vertical="center"/>
    </xf>
    <xf numFmtId="4" fontId="54" fillId="37" borderId="11" xfId="0" applyNumberFormat="1" applyFont="1" applyFill="1" applyBorder="1" applyAlignment="1">
      <alignment vertical="center"/>
    </xf>
    <xf numFmtId="0" fontId="54" fillId="37" borderId="11" xfId="0" applyFont="1" applyFill="1" applyBorder="1" applyAlignment="1">
      <alignment vertical="center"/>
    </xf>
    <xf numFmtId="167" fontId="54" fillId="37" borderId="11" xfId="0" applyNumberFormat="1" applyFont="1" applyFill="1" applyBorder="1" applyAlignment="1">
      <alignment vertical="center"/>
    </xf>
    <xf numFmtId="165" fontId="53" fillId="37" borderId="11" xfId="0" applyNumberFormat="1" applyFont="1" applyFill="1" applyBorder="1" applyAlignment="1">
      <alignment vertical="center"/>
    </xf>
    <xf numFmtId="0" fontId="54" fillId="37" borderId="18" xfId="0" applyFont="1" applyFill="1" applyBorder="1" applyAlignment="1">
      <alignment vertical="center"/>
    </xf>
    <xf numFmtId="0" fontId="18" fillId="37" borderId="0" xfId="0" applyFont="1" applyFill="1" applyBorder="1" applyAlignment="1">
      <alignment horizontal="right"/>
    </xf>
    <xf numFmtId="4" fontId="18" fillId="37" borderId="0" xfId="0" applyNumberFormat="1" applyFont="1" applyFill="1" applyBorder="1" applyAlignment="1">
      <alignment/>
    </xf>
    <xf numFmtId="0" fontId="27" fillId="37" borderId="0" xfId="0" applyFont="1" applyFill="1" applyBorder="1" applyAlignment="1">
      <alignment horizontal="right"/>
    </xf>
    <xf numFmtId="0" fontId="53" fillId="43" borderId="21" xfId="0" applyFont="1" applyFill="1" applyBorder="1" applyAlignment="1">
      <alignment/>
    </xf>
    <xf numFmtId="0" fontId="53" fillId="43" borderId="51" xfId="0" applyFont="1" applyFill="1" applyBorder="1" applyAlignment="1">
      <alignment/>
    </xf>
    <xf numFmtId="0" fontId="53" fillId="43" borderId="52" xfId="0" applyFont="1" applyFill="1" applyBorder="1" applyAlignment="1">
      <alignment/>
    </xf>
    <xf numFmtId="0" fontId="62" fillId="37" borderId="17" xfId="0" applyFont="1" applyFill="1" applyBorder="1" applyAlignment="1">
      <alignment/>
    </xf>
    <xf numFmtId="0" fontId="54" fillId="37" borderId="23" xfId="0" applyFont="1" applyFill="1" applyBorder="1" applyAlignment="1">
      <alignment vertical="center"/>
    </xf>
    <xf numFmtId="4" fontId="2" fillId="37" borderId="0" xfId="0" applyNumberFormat="1" applyFont="1" applyFill="1" applyBorder="1" applyAlignment="1">
      <alignment horizontal="center" vertical="center" wrapText="1"/>
    </xf>
    <xf numFmtId="3" fontId="0" fillId="37" borderId="0" xfId="0" applyNumberFormat="1" applyFont="1" applyFill="1" applyBorder="1" applyAlignment="1">
      <alignment horizontal="center" vertical="center" wrapText="1"/>
    </xf>
    <xf numFmtId="2" fontId="4" fillId="37" borderId="0" xfId="0" applyNumberFormat="1" applyFont="1" applyFill="1" applyBorder="1" applyAlignment="1">
      <alignment horizontal="center" vertical="center" wrapText="1"/>
    </xf>
    <xf numFmtId="3" fontId="52" fillId="45" borderId="0" xfId="0" applyNumberFormat="1" applyFont="1" applyFill="1" applyBorder="1" applyAlignment="1" applyProtection="1">
      <alignment/>
      <protection locked="0"/>
    </xf>
    <xf numFmtId="0" fontId="52" fillId="45" borderId="53" xfId="0" applyFont="1" applyFill="1" applyBorder="1" applyAlignment="1" applyProtection="1">
      <alignment/>
      <protection locked="0"/>
    </xf>
    <xf numFmtId="0" fontId="52" fillId="45" borderId="54" xfId="0" applyFont="1" applyFill="1" applyBorder="1" applyAlignment="1" applyProtection="1">
      <alignment/>
      <protection locked="0"/>
    </xf>
    <xf numFmtId="0" fontId="45" fillId="37" borderId="17" xfId="0" applyFont="1" applyFill="1" applyBorder="1" applyAlignment="1">
      <alignment/>
    </xf>
    <xf numFmtId="0" fontId="45" fillId="37" borderId="11" xfId="0" applyFont="1" applyFill="1" applyBorder="1" applyAlignment="1">
      <alignment/>
    </xf>
    <xf numFmtId="4" fontId="45" fillId="37" borderId="11" xfId="0" applyNumberFormat="1" applyFont="1" applyFill="1" applyBorder="1" applyAlignment="1">
      <alignment/>
    </xf>
    <xf numFmtId="165" fontId="45" fillId="37" borderId="11" xfId="0" applyNumberFormat="1" applyFont="1" applyFill="1" applyBorder="1" applyAlignment="1">
      <alignment/>
    </xf>
    <xf numFmtId="0" fontId="62" fillId="37" borderId="19" xfId="0" applyFont="1" applyFill="1" applyBorder="1" applyAlignment="1">
      <alignment/>
    </xf>
    <xf numFmtId="0" fontId="45" fillId="37" borderId="19" xfId="0" applyFont="1" applyFill="1" applyBorder="1" applyAlignment="1">
      <alignment/>
    </xf>
    <xf numFmtId="0" fontId="62" fillId="37" borderId="19" xfId="0" applyFont="1" applyFill="1" applyBorder="1" applyAlignment="1">
      <alignment horizontal="left"/>
    </xf>
    <xf numFmtId="0" fontId="56" fillId="37" borderId="19" xfId="0" applyFont="1" applyFill="1" applyBorder="1" applyAlignment="1">
      <alignment vertical="top"/>
    </xf>
    <xf numFmtId="0" fontId="51" fillId="37" borderId="19" xfId="0" applyFont="1" applyFill="1" applyBorder="1" applyAlignment="1">
      <alignment horizontal="center"/>
    </xf>
    <xf numFmtId="165" fontId="51" fillId="36" borderId="0" xfId="0" applyNumberFormat="1" applyFont="1" applyFill="1" applyBorder="1" applyAlignment="1">
      <alignment horizontal="center"/>
    </xf>
    <xf numFmtId="0" fontId="12" fillId="37" borderId="20" xfId="0" applyFont="1" applyFill="1" applyBorder="1" applyAlignment="1">
      <alignment/>
    </xf>
    <xf numFmtId="0" fontId="12" fillId="37" borderId="55" xfId="0" applyFont="1" applyFill="1" applyBorder="1" applyAlignment="1">
      <alignment/>
    </xf>
    <xf numFmtId="0" fontId="54" fillId="37" borderId="19" xfId="0" applyFont="1" applyFill="1" applyBorder="1" applyAlignment="1">
      <alignment vertical="center"/>
    </xf>
    <xf numFmtId="0" fontId="56" fillId="37" borderId="19" xfId="0" applyFont="1" applyFill="1" applyBorder="1" applyAlignment="1">
      <alignment/>
    </xf>
    <xf numFmtId="0" fontId="52" fillId="37" borderId="0" xfId="0" applyFont="1" applyFill="1" applyBorder="1" applyAlignment="1">
      <alignment horizontal="right"/>
    </xf>
    <xf numFmtId="0" fontId="56" fillId="37" borderId="20" xfId="0" applyFont="1" applyFill="1" applyBorder="1" applyAlignment="1">
      <alignment/>
    </xf>
    <xf numFmtId="0" fontId="52" fillId="37" borderId="19" xfId="0" applyFont="1" applyFill="1" applyBorder="1" applyAlignment="1">
      <alignment/>
    </xf>
    <xf numFmtId="0" fontId="52" fillId="37" borderId="20" xfId="0" applyFont="1" applyFill="1" applyBorder="1" applyAlignment="1">
      <alignment/>
    </xf>
    <xf numFmtId="0" fontId="52" fillId="37" borderId="55" xfId="0" applyFont="1" applyFill="1" applyBorder="1" applyAlignment="1">
      <alignment/>
    </xf>
    <xf numFmtId="0" fontId="52" fillId="0" borderId="19" xfId="0" applyFont="1" applyFill="1" applyBorder="1" applyAlignment="1">
      <alignment/>
    </xf>
    <xf numFmtId="0" fontId="59" fillId="0" borderId="0" xfId="0" applyFont="1" applyFill="1" applyBorder="1" applyAlignment="1">
      <alignment/>
    </xf>
    <xf numFmtId="0" fontId="45" fillId="37" borderId="11" xfId="0" applyFont="1" applyFill="1" applyBorder="1" applyAlignment="1" applyProtection="1">
      <alignment/>
      <protection/>
    </xf>
    <xf numFmtId="0" fontId="46" fillId="37" borderId="19" xfId="0" applyFont="1" applyFill="1" applyBorder="1" applyAlignment="1" applyProtection="1">
      <alignment horizontal="left"/>
      <protection/>
    </xf>
    <xf numFmtId="0" fontId="0" fillId="37" borderId="19" xfId="0" applyFill="1" applyBorder="1" applyAlignment="1">
      <alignment horizontal="left"/>
    </xf>
    <xf numFmtId="0" fontId="65" fillId="37" borderId="11" xfId="0" applyFont="1" applyFill="1" applyBorder="1" applyAlignment="1">
      <alignment vertical="center"/>
    </xf>
    <xf numFmtId="0" fontId="65" fillId="37" borderId="18" xfId="0" applyFont="1" applyFill="1" applyBorder="1" applyAlignment="1">
      <alignment vertical="center"/>
    </xf>
    <xf numFmtId="0" fontId="63" fillId="37" borderId="19" xfId="0" applyFont="1" applyFill="1" applyBorder="1" applyAlignment="1">
      <alignment vertical="center" wrapText="1"/>
    </xf>
    <xf numFmtId="0" fontId="65" fillId="37" borderId="0" xfId="0" applyFont="1" applyFill="1" applyBorder="1" applyAlignment="1">
      <alignment vertical="center"/>
    </xf>
    <xf numFmtId="0" fontId="65" fillId="37" borderId="20" xfId="0" applyFont="1" applyFill="1" applyBorder="1" applyAlignment="1">
      <alignment vertical="center"/>
    </xf>
    <xf numFmtId="0" fontId="65" fillId="37" borderId="24" xfId="0" applyFont="1" applyFill="1" applyBorder="1" applyAlignment="1">
      <alignment vertical="center"/>
    </xf>
    <xf numFmtId="0" fontId="65" fillId="37" borderId="22" xfId="0" applyFont="1" applyFill="1" applyBorder="1" applyAlignment="1">
      <alignment vertical="center"/>
    </xf>
    <xf numFmtId="0" fontId="0" fillId="37" borderId="41" xfId="0" applyFill="1" applyBorder="1" applyAlignment="1">
      <alignment/>
    </xf>
    <xf numFmtId="0" fontId="0" fillId="0" borderId="56" xfId="0" applyFill="1" applyBorder="1" applyAlignment="1">
      <alignment/>
    </xf>
    <xf numFmtId="0" fontId="63" fillId="0" borderId="57" xfId="0" applyFont="1" applyFill="1" applyBorder="1" applyAlignment="1">
      <alignment/>
    </xf>
    <xf numFmtId="0" fontId="18" fillId="0" borderId="57" xfId="0" applyFont="1" applyFill="1" applyBorder="1" applyAlignment="1">
      <alignment/>
    </xf>
    <xf numFmtId="2" fontId="0" fillId="0" borderId="57" xfId="0" applyNumberFormat="1" applyFill="1" applyBorder="1" applyAlignment="1">
      <alignment/>
    </xf>
    <xf numFmtId="2" fontId="0" fillId="0" borderId="58" xfId="0" applyNumberFormat="1" applyFill="1" applyBorder="1" applyAlignment="1">
      <alignment/>
    </xf>
    <xf numFmtId="0" fontId="0" fillId="0" borderId="59" xfId="0" applyFill="1" applyBorder="1" applyAlignment="1">
      <alignment/>
    </xf>
    <xf numFmtId="0" fontId="31" fillId="0" borderId="60" xfId="0" applyFont="1" applyFill="1" applyBorder="1" applyAlignment="1">
      <alignment/>
    </xf>
    <xf numFmtId="0" fontId="0" fillId="0" borderId="60" xfId="0" applyFill="1" applyBorder="1" applyAlignment="1">
      <alignment/>
    </xf>
    <xf numFmtId="0" fontId="0" fillId="0" borderId="61" xfId="0" applyFill="1" applyBorder="1" applyAlignment="1">
      <alignment/>
    </xf>
    <xf numFmtId="3" fontId="0" fillId="37" borderId="12" xfId="0" applyNumberFormat="1" applyFont="1" applyFill="1" applyBorder="1" applyAlignment="1">
      <alignment horizontal="center" vertical="center" wrapText="1"/>
    </xf>
    <xf numFmtId="3" fontId="0" fillId="37" borderId="26" xfId="0" applyNumberFormat="1" applyFont="1" applyFill="1" applyBorder="1" applyAlignment="1">
      <alignment horizontal="center" vertical="center" wrapText="1"/>
    </xf>
    <xf numFmtId="4" fontId="0" fillId="37" borderId="12" xfId="0" applyNumberFormat="1" applyFont="1" applyFill="1" applyBorder="1" applyAlignment="1">
      <alignment horizontal="center" vertical="center" wrapText="1"/>
    </xf>
    <xf numFmtId="4" fontId="0" fillId="38" borderId="12" xfId="0" applyNumberFormat="1" applyFill="1" applyBorder="1" applyAlignment="1">
      <alignment/>
    </xf>
    <xf numFmtId="2" fontId="0" fillId="0" borderId="0" xfId="0" applyNumberFormat="1" applyFill="1" applyBorder="1" applyAlignment="1">
      <alignment horizontal="left" vertical="center"/>
    </xf>
    <xf numFmtId="4" fontId="0" fillId="0" borderId="0" xfId="0" applyNumberFormat="1" applyFill="1" applyAlignment="1">
      <alignment/>
    </xf>
    <xf numFmtId="0" fontId="0" fillId="0" borderId="0" xfId="0" applyNumberFormat="1" applyFill="1" applyAlignment="1">
      <alignment/>
    </xf>
    <xf numFmtId="0" fontId="0" fillId="37" borderId="19" xfId="0" applyNumberFormat="1" applyFill="1" applyBorder="1" applyAlignment="1">
      <alignment/>
    </xf>
    <xf numFmtId="0" fontId="0" fillId="37" borderId="0" xfId="0" applyNumberFormat="1" applyFill="1" applyBorder="1" applyAlignment="1">
      <alignment/>
    </xf>
    <xf numFmtId="11" fontId="0" fillId="38" borderId="12" xfId="0" applyNumberFormat="1" applyFill="1" applyBorder="1" applyAlignment="1">
      <alignment/>
    </xf>
    <xf numFmtId="4" fontId="0" fillId="46" borderId="12" xfId="0" applyNumberFormat="1" applyFill="1" applyBorder="1" applyAlignment="1">
      <alignment horizontal="center" vertical="center"/>
    </xf>
    <xf numFmtId="11" fontId="0" fillId="38" borderId="12" xfId="0" applyNumberFormat="1" applyFill="1" applyBorder="1" applyAlignment="1">
      <alignment horizontal="center" vertical="center"/>
    </xf>
    <xf numFmtId="11" fontId="0" fillId="46" borderId="12" xfId="0" applyNumberFormat="1" applyFill="1" applyBorder="1" applyAlignment="1">
      <alignment horizontal="center" vertical="center"/>
    </xf>
    <xf numFmtId="0" fontId="0" fillId="37" borderId="21" xfId="0" applyNumberFormat="1" applyFill="1" applyBorder="1" applyAlignment="1">
      <alignment wrapText="1"/>
    </xf>
    <xf numFmtId="0" fontId="0" fillId="37" borderId="62" xfId="0" applyFill="1" applyBorder="1" applyAlignment="1">
      <alignment/>
    </xf>
    <xf numFmtId="0" fontId="6" fillId="37" borderId="0" xfId="0" applyFont="1" applyFill="1" applyBorder="1" applyAlignment="1">
      <alignment/>
    </xf>
    <xf numFmtId="0" fontId="0" fillId="0" borderId="16" xfId="0" applyFill="1" applyBorder="1" applyAlignment="1">
      <alignment horizontal="center" vertical="center" wrapText="1"/>
    </xf>
    <xf numFmtId="0" fontId="1" fillId="37" borderId="0" xfId="0" applyFont="1" applyFill="1" applyBorder="1" applyAlignment="1">
      <alignment/>
    </xf>
    <xf numFmtId="0" fontId="0" fillId="0" borderId="19" xfId="0" applyBorder="1" applyAlignment="1">
      <alignment/>
    </xf>
    <xf numFmtId="2" fontId="0" fillId="37" borderId="0" xfId="0" applyNumberFormat="1" applyFill="1" applyAlignment="1">
      <alignment/>
    </xf>
    <xf numFmtId="0" fontId="2" fillId="38" borderId="12" xfId="0" applyNumberFormat="1" applyFont="1" applyFill="1" applyBorder="1" applyAlignment="1">
      <alignment horizontal="center" vertical="center"/>
    </xf>
    <xf numFmtId="0" fontId="0" fillId="38" borderId="14" xfId="0" applyFill="1" applyBorder="1" applyAlignment="1">
      <alignment horizontal="center" vertical="center"/>
    </xf>
    <xf numFmtId="4" fontId="6" fillId="38" borderId="12" xfId="0" applyNumberFormat="1" applyFont="1" applyFill="1" applyBorder="1" applyAlignment="1">
      <alignment horizontal="right"/>
    </xf>
    <xf numFmtId="2" fontId="0" fillId="37" borderId="0" xfId="0" applyNumberFormat="1" applyFont="1" applyFill="1" applyBorder="1" applyAlignment="1">
      <alignment horizontal="left" vertical="center"/>
    </xf>
    <xf numFmtId="2" fontId="0" fillId="0" borderId="15" xfId="0" applyNumberFormat="1" applyFont="1" applyFill="1" applyBorder="1" applyAlignment="1">
      <alignment horizontal="center" vertical="center" wrapText="1"/>
    </xf>
    <xf numFmtId="1" fontId="0" fillId="37" borderId="12" xfId="0" applyNumberFormat="1" applyFont="1" applyFill="1" applyBorder="1" applyAlignment="1">
      <alignment horizontal="center" vertical="center" wrapText="1"/>
    </xf>
    <xf numFmtId="0" fontId="1" fillId="37" borderId="0" xfId="0" applyFont="1" applyFill="1" applyBorder="1" applyAlignment="1">
      <alignment horizontal="right" vertical="top"/>
    </xf>
    <xf numFmtId="0" fontId="0" fillId="45" borderId="63" xfId="0" applyFill="1" applyBorder="1" applyAlignment="1">
      <alignment/>
    </xf>
    <xf numFmtId="0" fontId="0" fillId="45" borderId="12" xfId="0" applyFill="1" applyBorder="1" applyAlignment="1">
      <alignment/>
    </xf>
    <xf numFmtId="0" fontId="0" fillId="45" borderId="38" xfId="0" applyFill="1" applyBorder="1" applyAlignment="1">
      <alignment horizontal="right"/>
    </xf>
    <xf numFmtId="167" fontId="58" fillId="45" borderId="14" xfId="0" applyNumberFormat="1" applyFont="1" applyFill="1" applyBorder="1" applyAlignment="1">
      <alignment/>
    </xf>
    <xf numFmtId="167" fontId="58" fillId="45" borderId="38" xfId="0" applyNumberFormat="1" applyFont="1" applyFill="1" applyBorder="1" applyAlignment="1">
      <alignment/>
    </xf>
    <xf numFmtId="167" fontId="58" fillId="45" borderId="64" xfId="0" applyNumberFormat="1" applyFont="1" applyFill="1" applyBorder="1" applyAlignment="1">
      <alignment/>
    </xf>
    <xf numFmtId="167" fontId="58" fillId="45" borderId="6" xfId="0" applyNumberFormat="1" applyFont="1" applyFill="1" applyBorder="1" applyAlignment="1">
      <alignment/>
    </xf>
    <xf numFmtId="167" fontId="58" fillId="45" borderId="32" xfId="0" applyNumberFormat="1" applyFont="1" applyFill="1" applyBorder="1" applyAlignment="1">
      <alignment/>
    </xf>
    <xf numFmtId="0" fontId="52" fillId="40" borderId="14" xfId="0" applyFont="1" applyFill="1" applyBorder="1" applyAlignment="1" applyProtection="1">
      <alignment/>
      <protection locked="0"/>
    </xf>
    <xf numFmtId="0" fontId="52" fillId="40" borderId="12" xfId="0" applyFont="1" applyFill="1" applyBorder="1" applyAlignment="1" applyProtection="1">
      <alignment/>
      <protection locked="0"/>
    </xf>
    <xf numFmtId="0" fontId="52" fillId="40" borderId="38" xfId="0" applyFont="1" applyFill="1" applyBorder="1" applyAlignment="1" applyProtection="1">
      <alignment/>
      <protection locked="0"/>
    </xf>
    <xf numFmtId="0" fontId="52" fillId="40" borderId="13" xfId="0" applyFont="1" applyFill="1" applyBorder="1" applyAlignment="1" applyProtection="1">
      <alignment/>
      <protection locked="0"/>
    </xf>
    <xf numFmtId="0" fontId="0" fillId="45" borderId="0" xfId="0" applyFill="1" applyBorder="1" applyAlignment="1">
      <alignment/>
    </xf>
    <xf numFmtId="167" fontId="58" fillId="45" borderId="12" xfId="0" applyNumberFormat="1" applyFont="1" applyFill="1" applyBorder="1" applyAlignment="1">
      <alignment/>
    </xf>
    <xf numFmtId="167" fontId="52" fillId="45" borderId="32" xfId="0" applyNumberFormat="1" applyFont="1" applyFill="1" applyBorder="1" applyAlignment="1" applyProtection="1">
      <alignment/>
      <protection locked="0"/>
    </xf>
    <xf numFmtId="0" fontId="58" fillId="45" borderId="12" xfId="0" applyFont="1" applyFill="1" applyBorder="1" applyAlignment="1">
      <alignment/>
    </xf>
    <xf numFmtId="0" fontId="58" fillId="45" borderId="13" xfId="0" applyFont="1" applyFill="1" applyBorder="1" applyAlignment="1">
      <alignment/>
    </xf>
    <xf numFmtId="4" fontId="52" fillId="40" borderId="12" xfId="0" applyNumberFormat="1" applyFont="1" applyFill="1" applyBorder="1" applyAlignment="1" applyProtection="1">
      <alignment/>
      <protection locked="0"/>
    </xf>
    <xf numFmtId="4" fontId="52" fillId="40" borderId="38" xfId="0" applyNumberFormat="1" applyFont="1" applyFill="1" applyBorder="1" applyAlignment="1" applyProtection="1">
      <alignment/>
      <protection locked="0"/>
    </xf>
    <xf numFmtId="4" fontId="52" fillId="40" borderId="14" xfId="0" applyNumberFormat="1" applyFont="1" applyFill="1" applyBorder="1" applyAlignment="1" applyProtection="1">
      <alignment/>
      <protection locked="0"/>
    </xf>
    <xf numFmtId="4" fontId="52" fillId="40" borderId="13" xfId="0" applyNumberFormat="1" applyFont="1" applyFill="1" applyBorder="1" applyAlignment="1" applyProtection="1">
      <alignment/>
      <protection locked="0"/>
    </xf>
    <xf numFmtId="0" fontId="2" fillId="0" borderId="19" xfId="0" applyFont="1" applyFill="1" applyBorder="1" applyAlignment="1">
      <alignment vertical="center"/>
    </xf>
    <xf numFmtId="0" fontId="0" fillId="0" borderId="65" xfId="0" applyFill="1" applyBorder="1" applyAlignment="1">
      <alignment/>
    </xf>
    <xf numFmtId="0" fontId="14" fillId="0" borderId="0" xfId="0" applyFont="1" applyAlignment="1">
      <alignment horizontal="right"/>
    </xf>
    <xf numFmtId="0" fontId="0" fillId="0" borderId="0" xfId="0" applyFont="1" applyAlignment="1">
      <alignment/>
    </xf>
    <xf numFmtId="0" fontId="0" fillId="37" borderId="20" xfId="0" applyFont="1" applyFill="1" applyBorder="1" applyAlignment="1">
      <alignment vertical="center"/>
    </xf>
    <xf numFmtId="164" fontId="0" fillId="37" borderId="12" xfId="0" applyNumberFormat="1" applyFont="1" applyFill="1" applyBorder="1" applyAlignment="1">
      <alignment horizontal="center" vertical="center" wrapText="1"/>
    </xf>
    <xf numFmtId="49" fontId="6" fillId="37" borderId="0" xfId="0" applyNumberFormat="1" applyFont="1" applyFill="1" applyBorder="1" applyAlignment="1">
      <alignment horizontal="right" vertical="top"/>
    </xf>
    <xf numFmtId="0" fontId="6" fillId="37" borderId="0" xfId="0" applyFont="1" applyFill="1" applyBorder="1" applyAlignment="1">
      <alignment horizontal="center"/>
    </xf>
    <xf numFmtId="0" fontId="0" fillId="37" borderId="24" xfId="0" applyFill="1" applyBorder="1" applyAlignment="1">
      <alignment horizontal="left" vertical="center"/>
    </xf>
    <xf numFmtId="0" fontId="52" fillId="37" borderId="0" xfId="0" applyFont="1" applyFill="1" applyAlignment="1">
      <alignment/>
    </xf>
    <xf numFmtId="0" fontId="54" fillId="0" borderId="66" xfId="0" applyFont="1" applyFill="1" applyBorder="1" applyAlignment="1">
      <alignment vertical="center"/>
    </xf>
    <xf numFmtId="0" fontId="12" fillId="0" borderId="66" xfId="0" applyFont="1" applyFill="1" applyBorder="1" applyAlignment="1">
      <alignment/>
    </xf>
    <xf numFmtId="0" fontId="0" fillId="0" borderId="66" xfId="0" applyFill="1" applyBorder="1" applyAlignment="1">
      <alignment/>
    </xf>
    <xf numFmtId="0" fontId="12" fillId="0" borderId="19" xfId="0" applyFont="1" applyFill="1" applyBorder="1" applyAlignment="1">
      <alignment/>
    </xf>
    <xf numFmtId="0" fontId="77" fillId="0" borderId="0" xfId="0" applyFont="1" applyFill="1" applyBorder="1" applyAlignment="1">
      <alignment/>
    </xf>
    <xf numFmtId="164" fontId="58" fillId="37" borderId="48" xfId="0" applyNumberFormat="1" applyFont="1" applyFill="1" applyBorder="1" applyAlignment="1">
      <alignment horizontal="right"/>
    </xf>
    <xf numFmtId="164" fontId="0" fillId="45" borderId="12" xfId="0" applyNumberFormat="1" applyFill="1" applyBorder="1" applyAlignment="1">
      <alignment horizontal="right"/>
    </xf>
    <xf numFmtId="164" fontId="58" fillId="45" borderId="14" xfId="0" applyNumberFormat="1" applyFont="1" applyFill="1" applyBorder="1" applyAlignment="1">
      <alignment/>
    </xf>
    <xf numFmtId="164" fontId="58" fillId="45" borderId="63" xfId="0" applyNumberFormat="1" applyFont="1" applyFill="1" applyBorder="1" applyAlignment="1">
      <alignment/>
    </xf>
    <xf numFmtId="164" fontId="58" fillId="45" borderId="48" xfId="0" applyNumberFormat="1" applyFont="1" applyFill="1" applyBorder="1" applyAlignment="1">
      <alignment horizontal="right"/>
    </xf>
    <xf numFmtId="165" fontId="53" fillId="37" borderId="24" xfId="0" applyNumberFormat="1" applyFont="1" applyFill="1" applyBorder="1" applyAlignment="1">
      <alignment vertical="center"/>
    </xf>
    <xf numFmtId="0" fontId="5" fillId="35" borderId="67" xfId="0" applyFont="1" applyFill="1" applyBorder="1" applyAlignment="1">
      <alignment vertical="center"/>
    </xf>
    <xf numFmtId="0" fontId="53" fillId="35" borderId="68" xfId="0" applyFont="1" applyFill="1" applyBorder="1" applyAlignment="1">
      <alignment vertical="center"/>
    </xf>
    <xf numFmtId="4" fontId="54" fillId="35" borderId="67" xfId="0" applyNumberFormat="1" applyFont="1" applyFill="1" applyBorder="1" applyAlignment="1">
      <alignment vertical="center"/>
    </xf>
    <xf numFmtId="0" fontId="54" fillId="35" borderId="67" xfId="0" applyFont="1" applyFill="1" applyBorder="1" applyAlignment="1">
      <alignment vertical="center"/>
    </xf>
    <xf numFmtId="167" fontId="54" fillId="35" borderId="67" xfId="0" applyNumberFormat="1" applyFont="1" applyFill="1" applyBorder="1" applyAlignment="1">
      <alignment vertical="center"/>
    </xf>
    <xf numFmtId="165" fontId="53" fillId="35" borderId="67" xfId="0" applyNumberFormat="1" applyFont="1" applyFill="1" applyBorder="1" applyAlignment="1">
      <alignment vertical="center"/>
    </xf>
    <xf numFmtId="0" fontId="2" fillId="37" borderId="6" xfId="0" applyFont="1" applyFill="1" applyBorder="1" applyAlignment="1">
      <alignment wrapText="1"/>
    </xf>
    <xf numFmtId="0" fontId="5" fillId="35" borderId="15" xfId="0" applyNumberFormat="1" applyFont="1" applyFill="1" applyBorder="1" applyAlignment="1">
      <alignment horizontal="left" vertical="center"/>
    </xf>
    <xf numFmtId="0" fontId="4" fillId="35" borderId="40" xfId="0" applyFont="1" applyFill="1" applyBorder="1" applyAlignment="1">
      <alignment horizontal="left"/>
    </xf>
    <xf numFmtId="0" fontId="0" fillId="37" borderId="55" xfId="0" applyFill="1" applyBorder="1" applyAlignment="1">
      <alignment wrapText="1"/>
    </xf>
    <xf numFmtId="0" fontId="0" fillId="38" borderId="69" xfId="0" applyFill="1" applyBorder="1" applyAlignment="1">
      <alignment horizontal="center" vertical="center" wrapText="1"/>
    </xf>
    <xf numFmtId="0" fontId="53" fillId="35" borderId="67" xfId="0" applyFont="1" applyFill="1" applyBorder="1" applyAlignment="1">
      <alignment vertical="center"/>
    </xf>
    <xf numFmtId="0" fontId="0" fillId="0" borderId="18" xfId="0" applyBorder="1" applyAlignment="1">
      <alignment/>
    </xf>
    <xf numFmtId="0" fontId="0" fillId="0" borderId="20" xfId="0" applyBorder="1" applyAlignment="1">
      <alignment/>
    </xf>
    <xf numFmtId="0" fontId="52" fillId="40" borderId="64" xfId="0" applyFont="1" applyFill="1" applyBorder="1" applyAlignment="1" applyProtection="1">
      <alignment/>
      <protection locked="0"/>
    </xf>
    <xf numFmtId="0" fontId="52" fillId="40" borderId="46" xfId="0" applyFont="1" applyFill="1" applyBorder="1" applyAlignment="1" applyProtection="1">
      <alignment/>
      <protection locked="0"/>
    </xf>
    <xf numFmtId="0" fontId="52" fillId="40" borderId="41" xfId="0" applyFont="1" applyFill="1" applyBorder="1" applyAlignment="1" applyProtection="1">
      <alignment/>
      <protection locked="0"/>
    </xf>
    <xf numFmtId="165" fontId="52" fillId="38" borderId="0" xfId="0" applyNumberFormat="1" applyFont="1" applyFill="1" applyBorder="1" applyAlignment="1">
      <alignment/>
    </xf>
    <xf numFmtId="0" fontId="51" fillId="36" borderId="46" xfId="0" applyFont="1" applyFill="1" applyBorder="1" applyAlignment="1">
      <alignment/>
    </xf>
    <xf numFmtId="0" fontId="54" fillId="35" borderId="70" xfId="0" applyFont="1" applyFill="1" applyBorder="1" applyAlignment="1">
      <alignment vertical="center"/>
    </xf>
    <xf numFmtId="165" fontId="52" fillId="37" borderId="12" xfId="0" applyNumberFormat="1" applyFont="1" applyFill="1" applyBorder="1" applyAlignment="1">
      <alignment/>
    </xf>
    <xf numFmtId="165" fontId="52" fillId="38" borderId="14" xfId="0" applyNumberFormat="1" applyFont="1" applyFill="1" applyBorder="1" applyAlignment="1">
      <alignment/>
    </xf>
    <xf numFmtId="165" fontId="52" fillId="38" borderId="12" xfId="0" applyNumberFormat="1" applyFont="1" applyFill="1" applyBorder="1" applyAlignment="1">
      <alignment/>
    </xf>
    <xf numFmtId="0" fontId="47" fillId="37" borderId="12" xfId="0" applyFont="1" applyFill="1" applyBorder="1" applyAlignment="1">
      <alignment vertical="top"/>
    </xf>
    <xf numFmtId="0" fontId="56" fillId="37" borderId="16" xfId="0" applyFont="1" applyFill="1" applyBorder="1" applyAlignment="1">
      <alignment/>
    </xf>
    <xf numFmtId="0" fontId="49" fillId="37" borderId="20" xfId="0" applyFont="1" applyFill="1" applyBorder="1" applyAlignment="1">
      <alignment vertical="center"/>
    </xf>
    <xf numFmtId="0" fontId="5" fillId="35" borderId="14" xfId="0" applyFont="1" applyFill="1" applyBorder="1" applyAlignment="1">
      <alignment vertical="center" wrapText="1"/>
    </xf>
    <xf numFmtId="0" fontId="12" fillId="36" borderId="13" xfId="0" applyFont="1" applyFill="1" applyBorder="1" applyAlignment="1">
      <alignment horizontal="center" vertical="center" wrapText="1"/>
    </xf>
    <xf numFmtId="0" fontId="2" fillId="0" borderId="12" xfId="0" applyFont="1" applyBorder="1" applyAlignment="1">
      <alignment wrapText="1"/>
    </xf>
    <xf numFmtId="4" fontId="2" fillId="0" borderId="12" xfId="0" applyNumberFormat="1" applyFont="1" applyFill="1" applyBorder="1" applyAlignment="1">
      <alignment horizontal="center" vertical="center" wrapText="1"/>
    </xf>
    <xf numFmtId="2" fontId="0" fillId="37" borderId="0" xfId="0" applyNumberFormat="1" applyFont="1" applyFill="1" applyBorder="1" applyAlignment="1">
      <alignment/>
    </xf>
    <xf numFmtId="2" fontId="0" fillId="37" borderId="0" xfId="0" applyNumberFormat="1" applyFont="1" applyFill="1" applyBorder="1" applyAlignment="1">
      <alignment wrapText="1"/>
    </xf>
    <xf numFmtId="0" fontId="2" fillId="35" borderId="14" xfId="0" applyFont="1" applyFill="1" applyBorder="1" applyAlignment="1">
      <alignment wrapText="1"/>
    </xf>
    <xf numFmtId="0" fontId="0" fillId="37" borderId="26" xfId="0"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0" fillId="0" borderId="24" xfId="0" applyBorder="1" applyAlignment="1">
      <alignment/>
    </xf>
    <xf numFmtId="0" fontId="53" fillId="35" borderId="13" xfId="0" applyFont="1" applyFill="1" applyBorder="1" applyAlignment="1">
      <alignment horizontal="center" vertical="center" wrapText="1"/>
    </xf>
    <xf numFmtId="0" fontId="1" fillId="0" borderId="0" xfId="0" applyFont="1" applyFill="1" applyBorder="1" applyAlignment="1">
      <alignment/>
    </xf>
    <xf numFmtId="0" fontId="1" fillId="0" borderId="19" xfId="0" applyFont="1" applyFill="1" applyBorder="1" applyAlignment="1">
      <alignment/>
    </xf>
    <xf numFmtId="0" fontId="0" fillId="0" borderId="11" xfId="0" applyBorder="1" applyAlignment="1">
      <alignment/>
    </xf>
    <xf numFmtId="0" fontId="0" fillId="37" borderId="71" xfId="0" applyFill="1" applyBorder="1" applyAlignment="1">
      <alignment/>
    </xf>
    <xf numFmtId="2" fontId="1" fillId="0" borderId="0" xfId="0" applyNumberFormat="1" applyFont="1" applyFill="1" applyBorder="1" applyAlignment="1">
      <alignment/>
    </xf>
    <xf numFmtId="0" fontId="6" fillId="0" borderId="0" xfId="0" applyFont="1" applyFill="1" applyBorder="1" applyAlignment="1">
      <alignment/>
    </xf>
    <xf numFmtId="4" fontId="2" fillId="0" borderId="11" xfId="0" applyNumberFormat="1" applyFont="1" applyFill="1" applyBorder="1" applyAlignment="1">
      <alignment horizontal="center" vertical="center"/>
    </xf>
    <xf numFmtId="0" fontId="0" fillId="0" borderId="0" xfId="0" applyFont="1" applyFill="1" applyBorder="1" applyAlignment="1">
      <alignment/>
    </xf>
    <xf numFmtId="2" fontId="6" fillId="37" borderId="0" xfId="0" applyNumberFormat="1" applyFont="1" applyFill="1" applyBorder="1" applyAlignment="1">
      <alignment horizontal="center" vertical="center" wrapText="1"/>
    </xf>
    <xf numFmtId="4" fontId="0" fillId="40" borderId="12" xfId="0" applyNumberFormat="1" applyFill="1" applyBorder="1" applyAlignment="1" applyProtection="1">
      <alignment horizontal="center" vertical="center" wrapText="1"/>
      <protection locked="0"/>
    </xf>
    <xf numFmtId="2" fontId="0" fillId="41" borderId="12" xfId="0" applyNumberFormat="1" applyFill="1" applyBorder="1" applyAlignment="1" applyProtection="1">
      <alignment horizontal="center" vertical="center" wrapText="1"/>
      <protection locked="0"/>
    </xf>
    <xf numFmtId="4" fontId="0" fillId="40" borderId="12" xfId="0" applyNumberFormat="1" applyFill="1" applyBorder="1" applyAlignment="1" applyProtection="1">
      <alignment horizontal="center" vertical="center"/>
      <protection locked="0"/>
    </xf>
    <xf numFmtId="2" fontId="0" fillId="40" borderId="12" xfId="0" applyNumberFormat="1" applyFill="1" applyBorder="1" applyAlignment="1" applyProtection="1">
      <alignment horizontal="center" vertical="center" wrapText="1"/>
      <protection locked="0"/>
    </xf>
    <xf numFmtId="3" fontId="52" fillId="45" borderId="0" xfId="0" applyNumberFormat="1" applyFont="1" applyFill="1" applyBorder="1" applyAlignment="1" applyProtection="1">
      <alignment/>
      <protection/>
    </xf>
    <xf numFmtId="2" fontId="0" fillId="40" borderId="12" xfId="0" applyNumberFormat="1" applyFill="1" applyBorder="1" applyAlignment="1" applyProtection="1">
      <alignment horizontal="center" vertical="center"/>
      <protection locked="0"/>
    </xf>
    <xf numFmtId="2" fontId="0" fillId="40" borderId="12" xfId="0" applyNumberFormat="1" applyFont="1" applyFill="1" applyBorder="1" applyAlignment="1" applyProtection="1">
      <alignment horizontal="center" vertical="center"/>
      <protection locked="0"/>
    </xf>
    <xf numFmtId="0" fontId="0" fillId="40" borderId="12" xfId="0" applyFill="1" applyBorder="1" applyAlignment="1" applyProtection="1">
      <alignment/>
      <protection locked="0"/>
    </xf>
    <xf numFmtId="0" fontId="6" fillId="40" borderId="12" xfId="0" applyFont="1" applyFill="1" applyBorder="1" applyAlignment="1" applyProtection="1">
      <alignment/>
      <protection locked="0"/>
    </xf>
    <xf numFmtId="2" fontId="0" fillId="40" borderId="12" xfId="0" applyNumberFormat="1" applyFont="1" applyFill="1" applyBorder="1" applyAlignment="1" applyProtection="1">
      <alignment horizontal="center" vertical="center" wrapText="1"/>
      <protection locked="0"/>
    </xf>
    <xf numFmtId="3" fontId="0" fillId="40" borderId="14" xfId="0" applyNumberFormat="1" applyFill="1" applyBorder="1" applyAlignment="1" applyProtection="1">
      <alignment horizontal="center" vertical="center"/>
      <protection locked="0"/>
    </xf>
    <xf numFmtId="2" fontId="0" fillId="40" borderId="14" xfId="0" applyNumberFormat="1" applyFill="1" applyBorder="1" applyAlignment="1" applyProtection="1">
      <alignment horizontal="center" vertical="center" wrapText="1"/>
      <protection locked="0"/>
    </xf>
    <xf numFmtId="4" fontId="0" fillId="40" borderId="14" xfId="0" applyNumberFormat="1" applyFill="1" applyBorder="1" applyAlignment="1" applyProtection="1">
      <alignment horizontal="center" vertical="center"/>
      <protection locked="0"/>
    </xf>
    <xf numFmtId="3" fontId="0" fillId="40" borderId="12" xfId="0" applyNumberFormat="1" applyFill="1" applyBorder="1" applyAlignment="1" applyProtection="1">
      <alignment/>
      <protection locked="0"/>
    </xf>
    <xf numFmtId="4" fontId="0" fillId="40" borderId="16" xfId="0" applyNumberFormat="1" applyFill="1" applyBorder="1" applyAlignment="1" applyProtection="1">
      <alignment horizontal="center" vertical="center" wrapText="1"/>
      <protection locked="0"/>
    </xf>
    <xf numFmtId="4" fontId="0" fillId="40" borderId="21" xfId="0" applyNumberFormat="1" applyFill="1" applyBorder="1" applyAlignment="1" applyProtection="1">
      <alignment horizontal="center" vertical="center" wrapText="1"/>
      <protection locked="0"/>
    </xf>
    <xf numFmtId="4" fontId="0" fillId="41" borderId="26" xfId="0" applyNumberFormat="1" applyFill="1" applyBorder="1" applyAlignment="1" applyProtection="1">
      <alignment horizontal="center" vertical="center" wrapText="1"/>
      <protection locked="0"/>
    </xf>
    <xf numFmtId="4" fontId="0" fillId="41" borderId="12" xfId="0" applyNumberFormat="1" applyFill="1" applyBorder="1" applyAlignment="1" applyProtection="1">
      <alignment horizontal="center" vertical="center" wrapText="1"/>
      <protection locked="0"/>
    </xf>
    <xf numFmtId="0" fontId="0" fillId="40" borderId="12" xfId="0" applyFill="1" applyBorder="1" applyAlignment="1" applyProtection="1">
      <alignment horizontal="center" vertical="center"/>
      <protection locked="0"/>
    </xf>
    <xf numFmtId="4" fontId="0" fillId="39" borderId="12" xfId="0" applyNumberFormat="1" applyFill="1" applyBorder="1" applyAlignment="1" applyProtection="1">
      <alignment wrapText="1"/>
      <protection locked="0"/>
    </xf>
    <xf numFmtId="2" fontId="0" fillId="40" borderId="16" xfId="0" applyNumberFormat="1" applyFill="1" applyBorder="1" applyAlignment="1" applyProtection="1">
      <alignment horizontal="center" vertical="center" wrapText="1"/>
      <protection locked="0"/>
    </xf>
    <xf numFmtId="4" fontId="0" fillId="39" borderId="12" xfId="0" applyNumberFormat="1" applyFont="1" applyFill="1" applyBorder="1" applyAlignment="1" applyProtection="1">
      <alignment wrapText="1"/>
      <protection locked="0"/>
    </xf>
    <xf numFmtId="2" fontId="0" fillId="40" borderId="45" xfId="0" applyNumberFormat="1" applyFill="1" applyBorder="1" applyAlignment="1" applyProtection="1">
      <alignment horizontal="center" vertical="center" wrapText="1"/>
      <protection locked="0"/>
    </xf>
    <xf numFmtId="4" fontId="0" fillId="39" borderId="12" xfId="0" applyNumberFormat="1" applyFill="1" applyBorder="1" applyAlignment="1" applyProtection="1">
      <alignment horizontal="left" vertical="center" wrapText="1"/>
      <protection locked="0"/>
    </xf>
    <xf numFmtId="4" fontId="0" fillId="39" borderId="12" xfId="0" applyNumberFormat="1" applyFill="1" applyBorder="1" applyAlignment="1" applyProtection="1">
      <alignment horizontal="center" vertical="center" wrapText="1"/>
      <protection locked="0"/>
    </xf>
    <xf numFmtId="0" fontId="0" fillId="40" borderId="12" xfId="0" applyFill="1" applyBorder="1" applyAlignment="1" applyProtection="1">
      <alignment horizontal="center"/>
      <protection locked="0"/>
    </xf>
    <xf numFmtId="4" fontId="0" fillId="40" borderId="12" xfId="0" applyNumberFormat="1" applyFont="1" applyFill="1" applyBorder="1" applyAlignment="1" applyProtection="1">
      <alignment horizontal="center" vertical="center"/>
      <protection locked="0"/>
    </xf>
    <xf numFmtId="2" fontId="0" fillId="40" borderId="12" xfId="0" applyNumberFormat="1" applyFont="1" applyFill="1" applyBorder="1" applyAlignment="1" applyProtection="1">
      <alignment horizontal="center" vertical="center" wrapText="1"/>
      <protection locked="0"/>
    </xf>
    <xf numFmtId="4" fontId="2" fillId="40" borderId="32" xfId="0" applyNumberFormat="1" applyFont="1" applyFill="1" applyBorder="1" applyAlignment="1" applyProtection="1">
      <alignment horizontal="center" vertical="center"/>
      <protection locked="0"/>
    </xf>
    <xf numFmtId="4" fontId="2" fillId="40" borderId="12" xfId="0" applyNumberFormat="1" applyFont="1" applyFill="1" applyBorder="1" applyAlignment="1" applyProtection="1">
      <alignment horizontal="center" vertical="center"/>
      <protection locked="0"/>
    </xf>
    <xf numFmtId="0" fontId="0" fillId="39" borderId="12" xfId="0" applyFill="1" applyBorder="1" applyAlignment="1" applyProtection="1">
      <alignment horizontal="center" vertical="center" wrapText="1"/>
      <protection locked="0"/>
    </xf>
    <xf numFmtId="2" fontId="0" fillId="39" borderId="12" xfId="0" applyNumberFormat="1" applyFill="1" applyBorder="1" applyAlignment="1" applyProtection="1">
      <alignment horizontal="center" vertical="center" wrapText="1"/>
      <protection locked="0"/>
    </xf>
    <xf numFmtId="2" fontId="0" fillId="39" borderId="16" xfId="0" applyNumberFormat="1" applyFill="1" applyBorder="1" applyAlignment="1" applyProtection="1">
      <alignment horizontal="center" vertical="center" wrapText="1"/>
      <protection locked="0"/>
    </xf>
    <xf numFmtId="2" fontId="0" fillId="39" borderId="12" xfId="0" applyNumberFormat="1" applyFont="1" applyFill="1" applyBorder="1" applyAlignment="1" applyProtection="1">
      <alignment horizontal="center" vertical="center" wrapText="1"/>
      <protection locked="0"/>
    </xf>
    <xf numFmtId="0" fontId="52" fillId="39" borderId="14" xfId="0" applyFont="1" applyFill="1" applyBorder="1" applyAlignment="1" applyProtection="1">
      <alignment wrapText="1"/>
      <protection locked="0"/>
    </xf>
    <xf numFmtId="0" fontId="52" fillId="39" borderId="12" xfId="0" applyFont="1" applyFill="1" applyBorder="1" applyAlignment="1" applyProtection="1">
      <alignment wrapText="1"/>
      <protection locked="0"/>
    </xf>
    <xf numFmtId="0" fontId="52" fillId="39" borderId="38" xfId="0" applyFont="1" applyFill="1" applyBorder="1" applyAlignment="1" applyProtection="1">
      <alignment wrapText="1"/>
      <protection locked="0"/>
    </xf>
    <xf numFmtId="0" fontId="52" fillId="39" borderId="64" xfId="0" applyFont="1" applyFill="1" applyBorder="1" applyAlignment="1" applyProtection="1">
      <alignment wrapText="1"/>
      <protection locked="0"/>
    </xf>
    <xf numFmtId="0" fontId="52" fillId="39" borderId="46" xfId="0" applyFont="1" applyFill="1" applyBorder="1" applyAlignment="1" applyProtection="1">
      <alignment wrapText="1"/>
      <protection locked="0"/>
    </xf>
    <xf numFmtId="0" fontId="52" fillId="39" borderId="41" xfId="0" applyFont="1" applyFill="1" applyBorder="1" applyAlignment="1" applyProtection="1">
      <alignment wrapText="1"/>
      <protection locked="0"/>
    </xf>
    <xf numFmtId="0" fontId="52" fillId="39" borderId="13" xfId="0" applyFont="1" applyFill="1" applyBorder="1" applyAlignment="1" applyProtection="1">
      <alignment wrapText="1"/>
      <protection locked="0"/>
    </xf>
    <xf numFmtId="2" fontId="0" fillId="40" borderId="36" xfId="0" applyNumberFormat="1" applyFill="1" applyBorder="1" applyAlignment="1" applyProtection="1">
      <alignment horizontal="center" vertical="center" wrapText="1"/>
      <protection locked="0"/>
    </xf>
    <xf numFmtId="2" fontId="0" fillId="40" borderId="72" xfId="0" applyNumberFormat="1" applyFill="1" applyBorder="1" applyAlignment="1" applyProtection="1">
      <alignment horizontal="center" vertical="center" wrapText="1"/>
      <protection locked="0"/>
    </xf>
    <xf numFmtId="0" fontId="0" fillId="40" borderId="30" xfId="0" applyFill="1" applyBorder="1" applyAlignment="1" applyProtection="1">
      <alignment wrapText="1"/>
      <protection locked="0"/>
    </xf>
    <xf numFmtId="0" fontId="0" fillId="40" borderId="73" xfId="0" applyFill="1" applyBorder="1" applyAlignment="1" applyProtection="1">
      <alignment wrapText="1"/>
      <protection locked="0"/>
    </xf>
    <xf numFmtId="0" fontId="52" fillId="40" borderId="14" xfId="0" applyFont="1" applyFill="1" applyBorder="1" applyAlignment="1" applyProtection="1">
      <alignment wrapText="1"/>
      <protection locked="0"/>
    </xf>
    <xf numFmtId="0" fontId="52" fillId="40" borderId="12" xfId="0" applyFont="1" applyFill="1" applyBorder="1" applyAlignment="1" applyProtection="1">
      <alignment wrapText="1"/>
      <protection locked="0"/>
    </xf>
    <xf numFmtId="0" fontId="52" fillId="40" borderId="38" xfId="0" applyFont="1" applyFill="1" applyBorder="1" applyAlignment="1" applyProtection="1">
      <alignment wrapText="1"/>
      <protection locked="0"/>
    </xf>
    <xf numFmtId="0" fontId="52" fillId="40" borderId="13" xfId="0" applyFont="1" applyFill="1" applyBorder="1" applyAlignment="1" applyProtection="1">
      <alignment wrapText="1"/>
      <protection locked="0"/>
    </xf>
    <xf numFmtId="0" fontId="52" fillId="40" borderId="25" xfId="0" applyFont="1" applyFill="1" applyBorder="1" applyAlignment="1" applyProtection="1">
      <alignment wrapText="1"/>
      <protection locked="0"/>
    </xf>
    <xf numFmtId="0" fontId="52" fillId="40" borderId="6" xfId="0" applyFont="1" applyFill="1" applyBorder="1" applyAlignment="1" applyProtection="1">
      <alignment wrapText="1"/>
      <protection locked="0"/>
    </xf>
    <xf numFmtId="0" fontId="52" fillId="40" borderId="32" xfId="0" applyFont="1" applyFill="1" applyBorder="1" applyAlignment="1" applyProtection="1">
      <alignment wrapText="1"/>
      <protection locked="0"/>
    </xf>
    <xf numFmtId="4" fontId="0" fillId="39" borderId="12" xfId="0" applyNumberFormat="1" applyFont="1" applyFill="1" applyBorder="1" applyAlignment="1" applyProtection="1">
      <alignment vertical="top" wrapText="1"/>
      <protection locked="0"/>
    </xf>
    <xf numFmtId="167" fontId="0" fillId="37" borderId="12" xfId="0" applyNumberFormat="1" applyFont="1" applyFill="1" applyBorder="1" applyAlignment="1">
      <alignment horizontal="center" vertical="center" wrapText="1"/>
    </xf>
    <xf numFmtId="167" fontId="0" fillId="37" borderId="12" xfId="0" applyNumberFormat="1" applyFill="1" applyBorder="1" applyAlignment="1">
      <alignment horizontal="center" vertical="center" wrapText="1"/>
    </xf>
    <xf numFmtId="167" fontId="0" fillId="40" borderId="12" xfId="0" applyNumberFormat="1" applyFill="1" applyBorder="1" applyAlignment="1" applyProtection="1">
      <alignment horizontal="center" vertical="center" wrapText="1"/>
      <protection locked="0"/>
    </xf>
    <xf numFmtId="3" fontId="0" fillId="38" borderId="12" xfId="0" applyNumberFormat="1" applyFill="1" applyBorder="1" applyAlignment="1">
      <alignment horizontal="center" vertical="center" wrapText="1"/>
    </xf>
    <xf numFmtId="0" fontId="2" fillId="38" borderId="16" xfId="0" applyFont="1" applyFill="1" applyBorder="1" applyAlignment="1">
      <alignment horizontal="center" vertical="center"/>
    </xf>
    <xf numFmtId="3" fontId="2" fillId="38" borderId="12" xfId="0" applyNumberFormat="1" applyFont="1" applyFill="1" applyBorder="1" applyAlignment="1">
      <alignment horizontal="center" vertical="center"/>
    </xf>
    <xf numFmtId="3" fontId="2" fillId="38" borderId="25" xfId="0" applyNumberFormat="1" applyFont="1" applyFill="1" applyBorder="1" applyAlignment="1">
      <alignment horizontal="center" vertical="center"/>
    </xf>
    <xf numFmtId="0" fontId="2" fillId="36" borderId="15" xfId="0" applyFont="1" applyFill="1" applyBorder="1" applyAlignment="1">
      <alignment horizontal="center" vertical="center" wrapText="1"/>
    </xf>
    <xf numFmtId="2" fontId="0" fillId="36" borderId="15" xfId="0" applyNumberFormat="1" applyFill="1" applyBorder="1" applyAlignment="1">
      <alignment horizontal="center" vertical="center" wrapText="1"/>
    </xf>
    <xf numFmtId="0" fontId="0" fillId="35" borderId="12" xfId="0" applyFill="1" applyBorder="1" applyAlignment="1">
      <alignment/>
    </xf>
    <xf numFmtId="0" fontId="0" fillId="0" borderId="12" xfId="0" applyFill="1" applyBorder="1" applyAlignment="1">
      <alignment wrapText="1"/>
    </xf>
    <xf numFmtId="0" fontId="0" fillId="37" borderId="0" xfId="0" applyFill="1" applyBorder="1" applyAlignment="1">
      <alignment horizontal="left" vertical="top"/>
    </xf>
    <xf numFmtId="0" fontId="0" fillId="0" borderId="12" xfId="0" applyFill="1" applyBorder="1" applyAlignment="1">
      <alignment horizontal="left" vertical="center" wrapText="1"/>
    </xf>
    <xf numFmtId="0" fontId="0" fillId="35" borderId="12" xfId="0" applyFill="1" applyBorder="1" applyAlignment="1">
      <alignment wrapText="1"/>
    </xf>
    <xf numFmtId="0" fontId="0" fillId="37" borderId="0" xfId="0" applyFill="1" applyBorder="1" applyAlignment="1">
      <alignment horizontal="left" vertical="top" wrapText="1"/>
    </xf>
    <xf numFmtId="2" fontId="0" fillId="0" borderId="0" xfId="0" applyNumberFormat="1" applyFill="1" applyBorder="1" applyAlignment="1" applyProtection="1">
      <alignment horizontal="center" vertical="center"/>
      <protection/>
    </xf>
    <xf numFmtId="0" fontId="0" fillId="0" borderId="0" xfId="0" applyFill="1" applyBorder="1" applyAlignment="1">
      <alignment horizontal="center" vertical="center"/>
    </xf>
    <xf numFmtId="2" fontId="0" fillId="37" borderId="20" xfId="0" applyNumberFormat="1" applyFill="1" applyBorder="1" applyAlignment="1" applyProtection="1">
      <alignment horizontal="center" vertical="center"/>
      <protection/>
    </xf>
    <xf numFmtId="0" fontId="0" fillId="37" borderId="22" xfId="0" applyFill="1" applyBorder="1" applyAlignment="1">
      <alignment horizontal="center" vertical="center"/>
    </xf>
    <xf numFmtId="164" fontId="45" fillId="0" borderId="0" xfId="0" applyNumberFormat="1" applyFont="1" applyFill="1" applyBorder="1" applyAlignment="1" applyProtection="1">
      <alignment/>
      <protection/>
    </xf>
    <xf numFmtId="0" fontId="0" fillId="0" borderId="0" xfId="0" applyAlignment="1">
      <alignment wrapText="1"/>
    </xf>
    <xf numFmtId="4" fontId="78" fillId="37" borderId="0" xfId="0" applyNumberFormat="1" applyFont="1" applyFill="1" applyBorder="1" applyAlignment="1">
      <alignment vertical="center"/>
    </xf>
    <xf numFmtId="0" fontId="56" fillId="37" borderId="0" xfId="0" applyFont="1" applyFill="1" applyAlignment="1">
      <alignment/>
    </xf>
    <xf numFmtId="0" fontId="0" fillId="0" borderId="0" xfId="0" applyFill="1" applyBorder="1" applyAlignment="1">
      <alignment horizontal="center"/>
    </xf>
    <xf numFmtId="0" fontId="0" fillId="37" borderId="20" xfId="0" applyFill="1" applyBorder="1" applyAlignment="1">
      <alignment horizontal="left" vertical="center"/>
    </xf>
    <xf numFmtId="0" fontId="0" fillId="37" borderId="22" xfId="0" applyFill="1" applyBorder="1" applyAlignment="1">
      <alignment horizontal="left" vertical="center"/>
    </xf>
    <xf numFmtId="0" fontId="52" fillId="37" borderId="22" xfId="0" applyFont="1" applyFill="1" applyBorder="1" applyAlignment="1">
      <alignment/>
    </xf>
    <xf numFmtId="0" fontId="52" fillId="37" borderId="24" xfId="0" applyFont="1" applyFill="1" applyBorder="1" applyAlignment="1">
      <alignment/>
    </xf>
    <xf numFmtId="0" fontId="52" fillId="37" borderId="23" xfId="0" applyFont="1" applyFill="1" applyBorder="1" applyAlignment="1">
      <alignment/>
    </xf>
    <xf numFmtId="0" fontId="0" fillId="37" borderId="20" xfId="0" applyFill="1" applyBorder="1" applyAlignment="1">
      <alignment horizontal="left" vertical="top" wrapText="1"/>
    </xf>
    <xf numFmtId="0" fontId="0" fillId="37" borderId="12" xfId="0" applyFont="1" applyFill="1" applyBorder="1" applyAlignment="1">
      <alignment horizontal="center" vertical="center" wrapText="1"/>
    </xf>
    <xf numFmtId="0" fontId="2" fillId="37" borderId="0" xfId="0" applyFont="1" applyFill="1" applyAlignment="1">
      <alignment horizontal="center"/>
    </xf>
    <xf numFmtId="4" fontId="79" fillId="38" borderId="16" xfId="0" applyNumberFormat="1" applyFont="1" applyFill="1" applyBorder="1" applyAlignment="1">
      <alignment horizontal="center" vertical="center"/>
    </xf>
    <xf numFmtId="165" fontId="12" fillId="37" borderId="0" xfId="0" applyNumberFormat="1" applyFont="1" applyFill="1" applyBorder="1" applyAlignment="1">
      <alignment/>
    </xf>
    <xf numFmtId="165" fontId="12" fillId="0" borderId="0" xfId="0" applyNumberFormat="1" applyFont="1" applyFill="1" applyBorder="1" applyAlignment="1">
      <alignment/>
    </xf>
    <xf numFmtId="181" fontId="0" fillId="38" borderId="12" xfId="0" applyNumberFormat="1" applyFill="1" applyBorder="1" applyAlignment="1">
      <alignment horizontal="center" vertical="center" wrapText="1"/>
    </xf>
    <xf numFmtId="167" fontId="0" fillId="40" borderId="45" xfId="0" applyNumberFormat="1" applyFill="1" applyBorder="1" applyAlignment="1" applyProtection="1">
      <alignment horizontal="center" vertical="center" wrapText="1"/>
      <protection locked="0"/>
    </xf>
    <xf numFmtId="167" fontId="0" fillId="40" borderId="16" xfId="0" applyNumberFormat="1" applyFill="1" applyBorder="1" applyAlignment="1" applyProtection="1">
      <alignment horizontal="center" vertical="center" wrapText="1"/>
      <protection locked="0"/>
    </xf>
    <xf numFmtId="0" fontId="6" fillId="37" borderId="0" xfId="0" applyFont="1" applyFill="1" applyBorder="1" applyAlignment="1">
      <alignment horizontal="center" vertical="center"/>
    </xf>
    <xf numFmtId="181" fontId="2" fillId="38" borderId="12" xfId="0" applyNumberFormat="1" applyFont="1" applyFill="1" applyBorder="1" applyAlignment="1">
      <alignment horizontal="center" vertical="center"/>
    </xf>
    <xf numFmtId="181" fontId="0" fillId="40" borderId="12" xfId="0" applyNumberFormat="1" applyFill="1" applyBorder="1" applyAlignment="1" applyProtection="1">
      <alignment horizontal="center" vertical="center" wrapText="1"/>
      <protection locked="0"/>
    </xf>
    <xf numFmtId="0" fontId="2" fillId="37" borderId="0" xfId="0" applyFont="1" applyFill="1" applyBorder="1" applyAlignment="1">
      <alignment/>
    </xf>
    <xf numFmtId="2" fontId="0" fillId="0" borderId="19" xfId="0" applyNumberFormat="1" applyFont="1" applyFill="1" applyBorder="1" applyAlignment="1">
      <alignment horizontal="center" vertical="center" wrapText="1"/>
    </xf>
    <xf numFmtId="0" fontId="0" fillId="37" borderId="0" xfId="0" applyFont="1" applyFill="1" applyBorder="1" applyAlignment="1">
      <alignment/>
    </xf>
    <xf numFmtId="166" fontId="0" fillId="36" borderId="12" xfId="0" applyNumberFormat="1" applyFont="1" applyFill="1" applyBorder="1" applyAlignment="1" applyProtection="1">
      <alignment horizontal="center" vertical="center"/>
      <protection/>
    </xf>
    <xf numFmtId="166" fontId="0" fillId="0" borderId="12" xfId="0" applyNumberFormat="1" applyFont="1" applyFill="1" applyBorder="1" applyAlignment="1" applyProtection="1">
      <alignment horizontal="center" vertical="center"/>
      <protection/>
    </xf>
    <xf numFmtId="181" fontId="0" fillId="40" borderId="12" xfId="0" applyNumberFormat="1" applyFill="1" applyBorder="1" applyAlignment="1" applyProtection="1">
      <alignment horizontal="center" vertical="center"/>
      <protection locked="0"/>
    </xf>
    <xf numFmtId="0" fontId="0" fillId="0" borderId="0" xfId="0" applyAlignment="1" applyProtection="1">
      <alignment/>
      <protection/>
    </xf>
    <xf numFmtId="0" fontId="0" fillId="0" borderId="0" xfId="0" applyAlignment="1" applyProtection="1">
      <alignment vertical="center"/>
      <protection/>
    </xf>
    <xf numFmtId="0" fontId="63"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37" borderId="17" xfId="0" applyFill="1" applyBorder="1" applyAlignment="1" applyProtection="1">
      <alignment/>
      <protection/>
    </xf>
    <xf numFmtId="0" fontId="25" fillId="37" borderId="65" xfId="0" applyFont="1" applyFill="1" applyBorder="1" applyAlignment="1" applyProtection="1">
      <alignment vertical="center"/>
      <protection/>
    </xf>
    <xf numFmtId="0" fontId="25" fillId="37" borderId="11" xfId="0" applyFont="1" applyFill="1" applyBorder="1" applyAlignment="1" applyProtection="1">
      <alignment vertical="center"/>
      <protection/>
    </xf>
    <xf numFmtId="0" fontId="0" fillId="37" borderId="11" xfId="0" applyFill="1" applyBorder="1" applyAlignment="1" applyProtection="1">
      <alignment vertical="center"/>
      <protection/>
    </xf>
    <xf numFmtId="0" fontId="0" fillId="37" borderId="11" xfId="0" applyFill="1" applyBorder="1" applyAlignment="1" applyProtection="1">
      <alignment horizont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protection/>
    </xf>
    <xf numFmtId="0" fontId="0" fillId="37" borderId="19" xfId="0" applyFill="1" applyBorder="1" applyAlignment="1" applyProtection="1">
      <alignment/>
      <protection/>
    </xf>
    <xf numFmtId="0" fontId="1" fillId="35" borderId="12" xfId="0" applyFont="1" applyFill="1" applyBorder="1" applyAlignment="1" applyProtection="1">
      <alignment vertical="center"/>
      <protection/>
    </xf>
    <xf numFmtId="0" fontId="0" fillId="37" borderId="20" xfId="0" applyFill="1" applyBorder="1" applyAlignment="1" applyProtection="1">
      <alignment/>
      <protection/>
    </xf>
    <xf numFmtId="0" fontId="1" fillId="37" borderId="0" xfId="0" applyFont="1" applyFill="1" applyBorder="1" applyAlignment="1" applyProtection="1">
      <alignment vertical="center"/>
      <protection/>
    </xf>
    <xf numFmtId="0" fontId="1" fillId="37" borderId="0" xfId="0" applyFont="1" applyFill="1" applyBorder="1" applyAlignment="1" applyProtection="1">
      <alignment horizontal="center" vertical="center"/>
      <protection/>
    </xf>
    <xf numFmtId="0" fontId="1" fillId="35" borderId="40" xfId="0" applyFont="1" applyFill="1" applyBorder="1" applyAlignment="1" applyProtection="1">
      <alignment vertical="center" wrapText="1"/>
      <protection/>
    </xf>
    <xf numFmtId="0" fontId="1" fillId="37" borderId="0" xfId="0" applyFont="1" applyFill="1" applyBorder="1" applyAlignment="1" applyProtection="1">
      <alignment vertical="center" wrapText="1"/>
      <protection/>
    </xf>
    <xf numFmtId="0" fontId="0" fillId="37" borderId="0" xfId="0" applyFill="1" applyBorder="1" applyAlignment="1" applyProtection="1">
      <alignment horizontal="center" vertical="center"/>
      <protection/>
    </xf>
    <xf numFmtId="0" fontId="1" fillId="37" borderId="11" xfId="0" applyFont="1" applyFill="1" applyBorder="1" applyAlignment="1" applyProtection="1">
      <alignment vertical="center"/>
      <protection/>
    </xf>
    <xf numFmtId="0" fontId="6" fillId="37" borderId="11" xfId="0" applyFont="1" applyFill="1" applyBorder="1" applyAlignment="1" applyProtection="1">
      <alignment horizontal="center" wrapText="1"/>
      <protection/>
    </xf>
    <xf numFmtId="2" fontId="6" fillId="37" borderId="11" xfId="0" applyNumberFormat="1" applyFont="1" applyFill="1" applyBorder="1" applyAlignment="1" applyProtection="1">
      <alignment horizontal="center" wrapText="1"/>
      <protection/>
    </xf>
    <xf numFmtId="168" fontId="0" fillId="38" borderId="12" xfId="0" applyNumberFormat="1" applyFill="1" applyBorder="1" applyAlignment="1" applyProtection="1">
      <alignment horizontal="center" vertical="center"/>
      <protection/>
    </xf>
    <xf numFmtId="4" fontId="0" fillId="37" borderId="0" xfId="0" applyNumberFormat="1" applyFill="1" applyBorder="1" applyAlignment="1" applyProtection="1">
      <alignment horizontal="center" vertical="center"/>
      <protection/>
    </xf>
    <xf numFmtId="0" fontId="1" fillId="38" borderId="12" xfId="0" applyFont="1" applyFill="1" applyBorder="1" applyAlignment="1" applyProtection="1">
      <alignment vertical="center" wrapText="1"/>
      <protection/>
    </xf>
    <xf numFmtId="0" fontId="1" fillId="35" borderId="12" xfId="0" applyFont="1" applyFill="1" applyBorder="1" applyAlignment="1" applyProtection="1">
      <alignment vertical="center" wrapText="1"/>
      <protection/>
    </xf>
    <xf numFmtId="0" fontId="0" fillId="37" borderId="23" xfId="0" applyFill="1" applyBorder="1" applyAlignment="1" applyProtection="1">
      <alignment/>
      <protection/>
    </xf>
    <xf numFmtId="0" fontId="1" fillId="37" borderId="24" xfId="0" applyFont="1" applyFill="1" applyBorder="1" applyAlignment="1" applyProtection="1">
      <alignment vertical="center" wrapText="1"/>
      <protection/>
    </xf>
    <xf numFmtId="2" fontId="0" fillId="37" borderId="24" xfId="0" applyNumberFormat="1" applyFill="1" applyBorder="1" applyAlignment="1" applyProtection="1">
      <alignment horizontal="center" vertical="center"/>
      <protection/>
    </xf>
    <xf numFmtId="0" fontId="0" fillId="37" borderId="24" xfId="0" applyFill="1" applyBorder="1" applyAlignment="1" applyProtection="1">
      <alignment horizontal="center" vertical="center"/>
      <protection/>
    </xf>
    <xf numFmtId="0" fontId="0" fillId="37" borderId="22" xfId="0" applyFill="1" applyBorder="1" applyAlignment="1" applyProtection="1">
      <alignment/>
      <protection/>
    </xf>
    <xf numFmtId="0" fontId="0" fillId="37" borderId="65" xfId="0" applyFill="1" applyBorder="1" applyAlignment="1" applyProtection="1">
      <alignment vertical="center"/>
      <protection/>
    </xf>
    <xf numFmtId="0" fontId="25" fillId="37" borderId="0" xfId="0" applyFont="1" applyFill="1" applyBorder="1" applyAlignment="1" applyProtection="1">
      <alignment vertical="center" wrapText="1"/>
      <protection/>
    </xf>
    <xf numFmtId="0" fontId="25" fillId="37" borderId="0" xfId="0" applyFont="1" applyFill="1" applyBorder="1" applyAlignment="1" applyProtection="1">
      <alignment vertical="center"/>
      <protection/>
    </xf>
    <xf numFmtId="0" fontId="0" fillId="37" borderId="0" xfId="0" applyFill="1" applyBorder="1" applyAlignment="1" applyProtection="1">
      <alignment vertical="center"/>
      <protection/>
    </xf>
    <xf numFmtId="0" fontId="1" fillId="37" borderId="24" xfId="0" applyFont="1" applyFill="1" applyBorder="1" applyAlignment="1" applyProtection="1">
      <alignment vertical="center"/>
      <protection/>
    </xf>
    <xf numFmtId="0" fontId="1" fillId="37" borderId="24" xfId="0" applyFont="1" applyFill="1" applyBorder="1" applyAlignment="1" applyProtection="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4" fontId="0" fillId="38" borderId="12" xfId="0" applyNumberFormat="1" applyFill="1" applyBorder="1" applyAlignment="1" applyProtection="1">
      <alignment horizontal="center" vertical="center"/>
      <protection/>
    </xf>
    <xf numFmtId="4" fontId="0" fillId="38" borderId="12" xfId="0" applyNumberFormat="1" applyFill="1" applyBorder="1" applyAlignment="1" applyProtection="1">
      <alignment horizontal="center" vertical="center" wrapText="1"/>
      <protection/>
    </xf>
    <xf numFmtId="4" fontId="78" fillId="38" borderId="12" xfId="0" applyNumberFormat="1" applyFont="1" applyFill="1" applyBorder="1" applyAlignment="1">
      <alignment horizontal="center"/>
    </xf>
    <xf numFmtId="0" fontId="0" fillId="0" borderId="0" xfId="0" applyNumberFormat="1" applyAlignment="1">
      <alignment wrapText="1"/>
    </xf>
    <xf numFmtId="0" fontId="32" fillId="37" borderId="19" xfId="0" applyFont="1" applyFill="1" applyBorder="1" applyAlignment="1">
      <alignment horizontal="center" vertical="center" wrapText="1"/>
    </xf>
    <xf numFmtId="0" fontId="33" fillId="37" borderId="20" xfId="0" applyFont="1" applyFill="1" applyBorder="1" applyAlignment="1">
      <alignment/>
    </xf>
    <xf numFmtId="0" fontId="0" fillId="0" borderId="0" xfId="0" applyNumberFormat="1" applyAlignment="1">
      <alignment/>
    </xf>
    <xf numFmtId="0" fontId="0" fillId="37" borderId="0" xfId="0" applyFill="1" applyBorder="1" applyAlignment="1">
      <alignment horizontal="right" vertical="center"/>
    </xf>
    <xf numFmtId="0" fontId="0" fillId="47" borderId="17" xfId="0" applyFill="1" applyBorder="1" applyAlignment="1" applyProtection="1">
      <alignment/>
      <protection/>
    </xf>
    <xf numFmtId="0" fontId="25" fillId="47" borderId="11" xfId="0" applyFont="1" applyFill="1" applyBorder="1" applyAlignment="1" applyProtection="1">
      <alignment vertical="center"/>
      <protection/>
    </xf>
    <xf numFmtId="0" fontId="6" fillId="47" borderId="11" xfId="0" applyFont="1" applyFill="1" applyBorder="1" applyAlignment="1" applyProtection="1">
      <alignment horizontal="center" wrapText="1"/>
      <protection/>
    </xf>
    <xf numFmtId="2" fontId="6" fillId="47" borderId="11" xfId="0" applyNumberFormat="1" applyFont="1" applyFill="1" applyBorder="1" applyAlignment="1" applyProtection="1">
      <alignment horizontal="center" wrapText="1"/>
      <protection/>
    </xf>
    <xf numFmtId="0" fontId="0" fillId="47" borderId="18" xfId="0" applyFill="1" applyBorder="1" applyAlignment="1" applyProtection="1">
      <alignment/>
      <protection/>
    </xf>
    <xf numFmtId="0" fontId="0" fillId="47" borderId="19" xfId="0" applyFill="1" applyBorder="1" applyAlignment="1" applyProtection="1">
      <alignment/>
      <protection/>
    </xf>
    <xf numFmtId="2" fontId="0" fillId="47" borderId="0" xfId="0" applyNumberFormat="1" applyFill="1" applyBorder="1" applyAlignment="1" applyProtection="1">
      <alignment horizontal="center" vertical="center"/>
      <protection/>
    </xf>
    <xf numFmtId="4" fontId="0" fillId="47" borderId="0" xfId="0" applyNumberFormat="1" applyFill="1" applyBorder="1" applyAlignment="1" applyProtection="1">
      <alignment horizontal="center" vertical="center"/>
      <protection/>
    </xf>
    <xf numFmtId="0" fontId="0" fillId="47" borderId="20" xfId="0" applyFill="1" applyBorder="1" applyAlignment="1" applyProtection="1">
      <alignment/>
      <protection/>
    </xf>
    <xf numFmtId="0" fontId="0" fillId="47" borderId="23" xfId="0" applyFill="1" applyBorder="1" applyAlignment="1" applyProtection="1">
      <alignment/>
      <protection/>
    </xf>
    <xf numFmtId="0" fontId="1" fillId="47" borderId="24" xfId="0" applyFont="1" applyFill="1" applyBorder="1" applyAlignment="1" applyProtection="1">
      <alignment vertical="center"/>
      <protection/>
    </xf>
    <xf numFmtId="0" fontId="1" fillId="47" borderId="24" xfId="0" applyFont="1" applyFill="1" applyBorder="1" applyAlignment="1" applyProtection="1">
      <alignment horizontal="center" vertical="center"/>
      <protection/>
    </xf>
    <xf numFmtId="0" fontId="0" fillId="47" borderId="24" xfId="0" applyFill="1" applyBorder="1" applyAlignment="1" applyProtection="1">
      <alignment horizontal="center" vertical="center"/>
      <protection/>
    </xf>
    <xf numFmtId="0" fontId="0" fillId="47" borderId="22" xfId="0" applyFill="1" applyBorder="1" applyAlignment="1" applyProtection="1">
      <alignment/>
      <protection/>
    </xf>
    <xf numFmtId="0" fontId="19" fillId="0" borderId="0" xfId="0" applyFont="1" applyAlignment="1">
      <alignment/>
    </xf>
    <xf numFmtId="0" fontId="65" fillId="0" borderId="0" xfId="0" applyFont="1" applyAlignment="1">
      <alignment/>
    </xf>
    <xf numFmtId="0" fontId="0" fillId="37" borderId="0" xfId="0" applyFill="1" applyAlignment="1">
      <alignment horizontal="left" vertical="top" wrapText="1"/>
    </xf>
    <xf numFmtId="164" fontId="0" fillId="0" borderId="12" xfId="0" applyNumberFormat="1" applyFont="1" applyFill="1" applyBorder="1" applyAlignment="1">
      <alignment horizontal="center" vertical="center"/>
    </xf>
    <xf numFmtId="0" fontId="54" fillId="0" borderId="74" xfId="0" applyFont="1" applyFill="1" applyBorder="1" applyAlignment="1">
      <alignment vertical="center"/>
    </xf>
    <xf numFmtId="0" fontId="52" fillId="0" borderId="11" xfId="0" applyFont="1" applyFill="1" applyBorder="1" applyAlignment="1">
      <alignment/>
    </xf>
    <xf numFmtId="164" fontId="58" fillId="45" borderId="0" xfId="0" applyNumberFormat="1" applyFont="1" applyFill="1" applyBorder="1" applyAlignment="1">
      <alignment horizontal="right"/>
    </xf>
    <xf numFmtId="164" fontId="58" fillId="45" borderId="12" xfId="0" applyNumberFormat="1" applyFont="1" applyFill="1" applyBorder="1" applyAlignment="1">
      <alignment horizontal="right"/>
    </xf>
    <xf numFmtId="164" fontId="58" fillId="45" borderId="75" xfId="0" applyNumberFormat="1" applyFont="1" applyFill="1" applyBorder="1" applyAlignment="1">
      <alignment/>
    </xf>
    <xf numFmtId="164" fontId="58" fillId="45" borderId="12" xfId="0" applyNumberFormat="1" applyFont="1" applyFill="1" applyBorder="1" applyAlignment="1">
      <alignment/>
    </xf>
    <xf numFmtId="164" fontId="0" fillId="45" borderId="14" xfId="0" applyNumberFormat="1" applyFill="1" applyBorder="1" applyAlignment="1">
      <alignment horizontal="right"/>
    </xf>
    <xf numFmtId="164" fontId="0" fillId="45" borderId="38" xfId="0" applyNumberFormat="1" applyFill="1" applyBorder="1" applyAlignment="1">
      <alignment horizontal="right"/>
    </xf>
    <xf numFmtId="164" fontId="0" fillId="45" borderId="13" xfId="0" applyNumberFormat="1" applyFill="1" applyBorder="1" applyAlignment="1">
      <alignment horizontal="right"/>
    </xf>
    <xf numFmtId="0" fontId="58" fillId="45" borderId="14" xfId="0" applyFont="1" applyFill="1" applyBorder="1" applyAlignment="1">
      <alignment/>
    </xf>
    <xf numFmtId="0" fontId="52" fillId="40" borderId="26" xfId="0" applyFont="1" applyFill="1" applyBorder="1" applyAlignment="1" applyProtection="1">
      <alignment wrapText="1"/>
      <protection locked="0"/>
    </xf>
    <xf numFmtId="0" fontId="52" fillId="40" borderId="63" xfId="0" applyFont="1" applyFill="1" applyBorder="1" applyAlignment="1" applyProtection="1">
      <alignment wrapText="1"/>
      <protection locked="0"/>
    </xf>
    <xf numFmtId="0" fontId="0" fillId="45" borderId="76" xfId="0" applyFill="1" applyBorder="1" applyAlignment="1">
      <alignment horizontal="right"/>
    </xf>
    <xf numFmtId="0" fontId="0" fillId="45" borderId="77" xfId="0" applyFill="1" applyBorder="1" applyAlignment="1">
      <alignment horizontal="right"/>
    </xf>
    <xf numFmtId="0" fontId="0" fillId="37" borderId="0" xfId="0" applyFill="1" applyAlignment="1">
      <alignment horizontal="left" vertical="center"/>
    </xf>
    <xf numFmtId="0" fontId="6" fillId="37" borderId="0" xfId="0" applyFont="1" applyFill="1" applyBorder="1" applyAlignment="1">
      <alignment wrapText="1"/>
    </xf>
    <xf numFmtId="0" fontId="0" fillId="0" borderId="0" xfId="0" applyAlignment="1">
      <alignment wrapText="1"/>
    </xf>
    <xf numFmtId="0" fontId="6" fillId="37" borderId="0" xfId="0" applyFont="1" applyFill="1" applyBorder="1" applyAlignment="1">
      <alignment vertical="top" wrapText="1"/>
    </xf>
    <xf numFmtId="0" fontId="0" fillId="0" borderId="0" xfId="0" applyAlignment="1">
      <alignment vertical="top" wrapText="1"/>
    </xf>
    <xf numFmtId="0" fontId="6" fillId="37" borderId="0" xfId="0" applyNumberFormat="1" applyFont="1" applyFill="1" applyBorder="1" applyAlignment="1">
      <alignment vertical="top" wrapText="1"/>
    </xf>
    <xf numFmtId="0" fontId="0" fillId="0" borderId="0" xfId="0" applyBorder="1" applyAlignment="1">
      <alignment vertical="top" wrapText="1"/>
    </xf>
    <xf numFmtId="0" fontId="32" fillId="37" borderId="17" xfId="0" applyFont="1" applyFill="1" applyBorder="1" applyAlignment="1">
      <alignment horizontal="center" vertical="center" wrapText="1"/>
    </xf>
    <xf numFmtId="0" fontId="33" fillId="0" borderId="11" xfId="0" applyFont="1" applyBorder="1" applyAlignment="1">
      <alignment/>
    </xf>
    <xf numFmtId="0" fontId="33" fillId="0" borderId="18" xfId="0" applyFont="1" applyBorder="1" applyAlignment="1">
      <alignment/>
    </xf>
    <xf numFmtId="0" fontId="67" fillId="37" borderId="0" xfId="0" applyFont="1" applyFill="1" applyBorder="1" applyAlignment="1">
      <alignment wrapText="1"/>
    </xf>
    <xf numFmtId="0" fontId="64" fillId="37" borderId="0" xfId="0" applyFont="1" applyFill="1" applyBorder="1" applyAlignment="1">
      <alignment wrapText="1"/>
    </xf>
    <xf numFmtId="0" fontId="64" fillId="0" borderId="0" xfId="0" applyFont="1" applyAlignment="1">
      <alignment/>
    </xf>
    <xf numFmtId="0" fontId="64" fillId="0" borderId="20" xfId="0" applyFont="1" applyBorder="1" applyAlignment="1">
      <alignment/>
    </xf>
    <xf numFmtId="0" fontId="1" fillId="37" borderId="0" xfId="0" applyFont="1" applyFill="1" applyBorder="1" applyAlignment="1">
      <alignment vertical="top" wrapText="1"/>
    </xf>
    <xf numFmtId="0" fontId="1" fillId="37" borderId="0" xfId="0" applyFont="1" applyFill="1" applyBorder="1" applyAlignment="1">
      <alignment horizontal="left" vertical="top" wrapText="1"/>
    </xf>
    <xf numFmtId="0" fontId="1" fillId="37" borderId="0" xfId="0" applyFont="1" applyFill="1" applyBorder="1" applyAlignment="1">
      <alignment wrapText="1"/>
    </xf>
    <xf numFmtId="0" fontId="0" fillId="37" borderId="0" xfId="0" applyFill="1" applyBorder="1" applyAlignment="1">
      <alignment/>
    </xf>
    <xf numFmtId="0" fontId="0" fillId="37" borderId="20" xfId="0" applyFill="1" applyBorder="1" applyAlignment="1">
      <alignment/>
    </xf>
    <xf numFmtId="0" fontId="0" fillId="37" borderId="0" xfId="0" applyFill="1" applyBorder="1" applyAlignment="1">
      <alignment horizontal="left" vertical="top" wrapText="1"/>
    </xf>
    <xf numFmtId="0" fontId="0" fillId="37" borderId="0" xfId="0" applyFill="1" applyBorder="1" applyAlignment="1">
      <alignment wrapText="1"/>
    </xf>
    <xf numFmtId="0" fontId="6" fillId="37" borderId="0" xfId="0" applyFont="1" applyFill="1" applyBorder="1" applyAlignment="1">
      <alignment/>
    </xf>
    <xf numFmtId="0" fontId="0" fillId="0" borderId="0" xfId="0" applyAlignment="1">
      <alignment/>
    </xf>
    <xf numFmtId="0" fontId="1" fillId="37" borderId="0" xfId="0" applyFont="1" applyFill="1" applyBorder="1" applyAlignment="1">
      <alignment horizontal="left" vertical="center"/>
    </xf>
    <xf numFmtId="0" fontId="1" fillId="37" borderId="20" xfId="0" applyFont="1" applyFill="1" applyBorder="1" applyAlignment="1">
      <alignment horizontal="left" vertical="center"/>
    </xf>
    <xf numFmtId="0" fontId="1" fillId="0" borderId="0" xfId="0" applyFont="1" applyAlignment="1">
      <alignment horizontal="left" vertical="center"/>
    </xf>
    <xf numFmtId="0" fontId="2" fillId="37" borderId="24" xfId="0" applyFont="1" applyFill="1" applyBorder="1" applyAlignment="1">
      <alignment vertical="top" wrapText="1"/>
    </xf>
    <xf numFmtId="0" fontId="2" fillId="0" borderId="24" xfId="0" applyFont="1" applyBorder="1" applyAlignment="1">
      <alignment vertical="top" wrapText="1"/>
    </xf>
    <xf numFmtId="2" fontId="0" fillId="40" borderId="15" xfId="0" applyNumberForma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6" fillId="0" borderId="0" xfId="0" applyFont="1" applyBorder="1" applyAlignment="1">
      <alignment horizontal="left" vertical="top" wrapText="1"/>
    </xf>
    <xf numFmtId="0" fontId="6" fillId="0" borderId="0" xfId="0" applyFont="1" applyAlignment="1">
      <alignment horizontal="left"/>
    </xf>
    <xf numFmtId="0" fontId="2" fillId="37" borderId="40" xfId="0" applyFont="1" applyFill="1" applyBorder="1" applyAlignment="1">
      <alignment wrapText="1"/>
    </xf>
    <xf numFmtId="0" fontId="0" fillId="0" borderId="40" xfId="0" applyBorder="1" applyAlignment="1">
      <alignment wrapText="1"/>
    </xf>
    <xf numFmtId="0" fontId="25" fillId="37" borderId="17" xfId="0" applyFont="1" applyFill="1" applyBorder="1" applyAlignment="1">
      <alignment wrapText="1"/>
    </xf>
    <xf numFmtId="0" fontId="25" fillId="0" borderId="11" xfId="0" applyFont="1" applyBorder="1" applyAlignment="1">
      <alignment wrapText="1"/>
    </xf>
    <xf numFmtId="0" fontId="2" fillId="37"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37" borderId="0" xfId="0" applyFill="1" applyAlignment="1">
      <alignment horizontal="left" vertical="top" wrapText="1"/>
    </xf>
    <xf numFmtId="0" fontId="2" fillId="0" borderId="12" xfId="0" applyNumberFormat="1" applyFont="1" applyFill="1" applyBorder="1" applyAlignment="1">
      <alignment horizontal="center" vertical="center" wrapText="1"/>
    </xf>
    <xf numFmtId="0" fontId="0" fillId="0" borderId="12" xfId="0" applyBorder="1" applyAlignment="1">
      <alignment wrapText="1"/>
    </xf>
    <xf numFmtId="0" fontId="21" fillId="0" borderId="0" xfId="0" applyFont="1" applyFill="1" applyBorder="1" applyAlignment="1">
      <alignment wrapText="1"/>
    </xf>
    <xf numFmtId="0" fontId="0" fillId="37" borderId="6" xfId="0" applyFill="1" applyBorder="1" applyAlignment="1">
      <alignment horizontal="left" vertical="center" wrapText="1"/>
    </xf>
    <xf numFmtId="0" fontId="0" fillId="0" borderId="6" xfId="0" applyBorder="1" applyAlignment="1">
      <alignment horizontal="left" vertical="center" wrapText="1"/>
    </xf>
    <xf numFmtId="0" fontId="0" fillId="0" borderId="19" xfId="0" applyFill="1" applyBorder="1" applyAlignment="1">
      <alignment horizontal="right"/>
    </xf>
    <xf numFmtId="0" fontId="0" fillId="0" borderId="0" xfId="0" applyFill="1" applyBorder="1" applyAlignment="1">
      <alignment horizontal="right"/>
    </xf>
    <xf numFmtId="0" fontId="6" fillId="0" borderId="0" xfId="0" applyFont="1" applyFill="1" applyAlignment="1">
      <alignment wrapText="1"/>
    </xf>
    <xf numFmtId="0" fontId="44"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xf>
    <xf numFmtId="0" fontId="0" fillId="0" borderId="0" xfId="0" applyFill="1" applyAlignment="1">
      <alignment/>
    </xf>
    <xf numFmtId="4" fontId="2" fillId="0" borderId="12" xfId="0" applyNumberFormat="1" applyFont="1" applyFill="1" applyBorder="1" applyAlignment="1">
      <alignment horizontal="center" vertical="center"/>
    </xf>
    <xf numFmtId="0" fontId="0" fillId="0" borderId="12" xfId="0" applyBorder="1" applyAlignment="1">
      <alignment horizontal="center" vertical="center"/>
    </xf>
    <xf numFmtId="4" fontId="2" fillId="0" borderId="15" xfId="0" applyNumberFormat="1" applyFont="1" applyFill="1" applyBorder="1" applyAlignment="1">
      <alignment horizontal="center" vertical="center"/>
    </xf>
    <xf numFmtId="0" fontId="0" fillId="0" borderId="40"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left" vertical="top" wrapText="1"/>
    </xf>
    <xf numFmtId="4" fontId="19" fillId="0" borderId="15"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16" xfId="0" applyBorder="1" applyAlignment="1">
      <alignment horizontal="center" vertical="center" wrapText="1"/>
    </xf>
    <xf numFmtId="0" fontId="0" fillId="36" borderId="64" xfId="0" applyFill="1" applyBorder="1" applyAlignment="1">
      <alignment horizontal="center"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2" fillId="0" borderId="0" xfId="0" applyFont="1" applyFill="1" applyAlignment="1">
      <alignment wrapText="1"/>
    </xf>
    <xf numFmtId="0" fontId="51" fillId="36" borderId="13" xfId="0" applyFont="1" applyFill="1" applyBorder="1" applyAlignment="1">
      <alignment wrapText="1"/>
    </xf>
    <xf numFmtId="0" fontId="2" fillId="0" borderId="26" xfId="0" applyFont="1" applyBorder="1" applyAlignment="1">
      <alignment wrapText="1"/>
    </xf>
    <xf numFmtId="0" fontId="2" fillId="0" borderId="14" xfId="0" applyFont="1" applyBorder="1" applyAlignment="1">
      <alignment wrapText="1"/>
    </xf>
    <xf numFmtId="4" fontId="18" fillId="37" borderId="11" xfId="0" applyNumberFormat="1" applyFont="1" applyFill="1" applyBorder="1" applyAlignment="1">
      <alignment horizontal="center"/>
    </xf>
    <xf numFmtId="0" fontId="18" fillId="0" borderId="11" xfId="0" applyFont="1" applyBorder="1" applyAlignment="1">
      <alignment horizontal="center"/>
    </xf>
    <xf numFmtId="0" fontId="0" fillId="0" borderId="11" xfId="0" applyBorder="1" applyAlignment="1">
      <alignment horizontal="center"/>
    </xf>
    <xf numFmtId="0" fontId="18" fillId="37" borderId="11" xfId="0" applyFont="1" applyFill="1" applyBorder="1" applyAlignment="1">
      <alignment horizontal="center"/>
    </xf>
    <xf numFmtId="0" fontId="6" fillId="37" borderId="32" xfId="0" applyFont="1" applyFill="1" applyBorder="1" applyAlignment="1">
      <alignment horizontal="center"/>
    </xf>
    <xf numFmtId="0" fontId="0" fillId="0" borderId="32" xfId="0" applyFill="1" applyBorder="1" applyAlignment="1">
      <alignment horizontal="center"/>
    </xf>
    <xf numFmtId="0" fontId="0" fillId="0" borderId="40" xfId="0" applyBorder="1" applyAlignment="1">
      <alignment/>
    </xf>
    <xf numFmtId="0" fontId="0" fillId="0" borderId="16" xfId="0" applyBorder="1" applyAlignment="1">
      <alignment/>
    </xf>
    <xf numFmtId="4" fontId="2" fillId="0" borderId="46" xfId="0" applyNumberFormat="1" applyFont="1" applyFill="1" applyBorder="1" applyAlignment="1">
      <alignment horizontal="center" vertical="center" wrapText="1"/>
    </xf>
    <xf numFmtId="4" fontId="2" fillId="0" borderId="32" xfId="0" applyNumberFormat="1" applyFont="1" applyFill="1" applyBorder="1" applyAlignment="1">
      <alignment horizontal="center" vertical="center" wrapText="1"/>
    </xf>
    <xf numFmtId="4" fontId="2" fillId="0" borderId="45" xfId="0" applyNumberFormat="1" applyFont="1" applyFill="1" applyBorder="1" applyAlignment="1">
      <alignment horizontal="center" vertical="center" wrapText="1"/>
    </xf>
    <xf numFmtId="0" fontId="6" fillId="0" borderId="12" xfId="0" applyFont="1" applyFill="1" applyBorder="1" applyAlignment="1">
      <alignment/>
    </xf>
    <xf numFmtId="0" fontId="0" fillId="0" borderId="12" xfId="0" applyBorder="1" applyAlignment="1">
      <alignment/>
    </xf>
    <xf numFmtId="0" fontId="2" fillId="0" borderId="78" xfId="0" applyNumberFormat="1" applyFont="1" applyFill="1" applyBorder="1" applyAlignment="1">
      <alignment horizontal="right" vertical="center"/>
    </xf>
    <xf numFmtId="0" fontId="0" fillId="0" borderId="39" xfId="0" applyBorder="1" applyAlignment="1">
      <alignment/>
    </xf>
    <xf numFmtId="0" fontId="0" fillId="0" borderId="79" xfId="0" applyBorder="1" applyAlignment="1">
      <alignment/>
    </xf>
    <xf numFmtId="0" fontId="0" fillId="0" borderId="0" xfId="0" applyBorder="1" applyAlignment="1">
      <alignment/>
    </xf>
    <xf numFmtId="0" fontId="24" fillId="37" borderId="34" xfId="0" applyFont="1" applyFill="1" applyBorder="1" applyAlignment="1">
      <alignment vertical="top" wrapText="1"/>
    </xf>
    <xf numFmtId="0" fontId="26" fillId="0" borderId="34" xfId="0" applyFont="1" applyBorder="1" applyAlignment="1">
      <alignment vertical="top"/>
    </xf>
    <xf numFmtId="0" fontId="24" fillId="37" borderId="11" xfId="0" applyFont="1" applyFill="1" applyBorder="1" applyAlignment="1">
      <alignment horizontal="left" wrapText="1"/>
    </xf>
    <xf numFmtId="0" fontId="0" fillId="0" borderId="11" xfId="0" applyBorder="1" applyAlignment="1">
      <alignment/>
    </xf>
    <xf numFmtId="0" fontId="2" fillId="0" borderId="12" xfId="0" applyNumberFormat="1" applyFont="1" applyFill="1" applyBorder="1" applyAlignment="1">
      <alignment horizontal="right" vertical="center"/>
    </xf>
    <xf numFmtId="2" fontId="2" fillId="0" borderId="12" xfId="0" applyNumberFormat="1" applyFont="1" applyFill="1" applyBorder="1" applyAlignment="1">
      <alignment horizontal="center" vertical="center"/>
    </xf>
    <xf numFmtId="0" fontId="6" fillId="37" borderId="11" xfId="0" applyFont="1" applyFill="1" applyBorder="1" applyAlignment="1">
      <alignment wrapText="1"/>
    </xf>
    <xf numFmtId="2" fontId="2" fillId="0" borderId="15" xfId="0" applyNumberFormat="1" applyFont="1" applyFill="1" applyBorder="1" applyAlignment="1">
      <alignment horizontal="center" vertical="center"/>
    </xf>
    <xf numFmtId="2" fontId="2" fillId="0" borderId="64" xfId="0" applyNumberFormat="1" applyFont="1" applyFill="1" applyBorder="1" applyAlignment="1">
      <alignment horizontal="center" vertical="center"/>
    </xf>
    <xf numFmtId="0" fontId="0" fillId="0" borderId="6" xfId="0" applyBorder="1" applyAlignment="1">
      <alignment/>
    </xf>
    <xf numFmtId="0" fontId="0" fillId="0" borderId="25" xfId="0" applyBorder="1" applyAlignment="1">
      <alignment/>
    </xf>
    <xf numFmtId="0" fontId="2" fillId="0" borderId="11" xfId="0" applyNumberFormat="1" applyFont="1" applyFill="1" applyBorder="1" applyAlignment="1">
      <alignment horizontal="right" vertical="center"/>
    </xf>
    <xf numFmtId="0" fontId="0" fillId="0" borderId="11" xfId="0" applyFill="1" applyBorder="1" applyAlignment="1">
      <alignment/>
    </xf>
    <xf numFmtId="0" fontId="2" fillId="0" borderId="15" xfId="0" applyNumberFormat="1" applyFont="1" applyFill="1" applyBorder="1" applyAlignment="1">
      <alignment horizontal="right" vertical="center"/>
    </xf>
    <xf numFmtId="0" fontId="1" fillId="0" borderId="0" xfId="0" applyNumberFormat="1" applyFont="1" applyBorder="1" applyAlignment="1">
      <alignment wrapText="1"/>
    </xf>
    <xf numFmtId="0" fontId="63" fillId="0" borderId="0" xfId="0" applyFont="1" applyAlignment="1">
      <alignment wrapText="1"/>
    </xf>
    <xf numFmtId="0" fontId="6" fillId="37" borderId="18" xfId="0" applyFont="1" applyFill="1" applyBorder="1" applyAlignment="1">
      <alignment wrapText="1"/>
    </xf>
    <xf numFmtId="0" fontId="64" fillId="37" borderId="80" xfId="0" applyFont="1" applyFill="1" applyBorder="1" applyAlignment="1">
      <alignment vertical="center" wrapText="1"/>
    </xf>
    <xf numFmtId="0" fontId="64" fillId="37" borderId="39" xfId="0" applyFont="1" applyFill="1" applyBorder="1" applyAlignment="1">
      <alignment vertical="center" wrapText="1"/>
    </xf>
    <xf numFmtId="0" fontId="64" fillId="37" borderId="81" xfId="0" applyFont="1" applyFill="1" applyBorder="1" applyAlignment="1">
      <alignment vertical="center" wrapText="1"/>
    </xf>
    <xf numFmtId="0" fontId="6" fillId="37" borderId="11" xfId="0" applyFont="1" applyFill="1" applyBorder="1" applyAlignment="1">
      <alignment horizontal="left" wrapText="1"/>
    </xf>
    <xf numFmtId="0" fontId="6" fillId="37" borderId="18" xfId="0" applyFont="1" applyFill="1" applyBorder="1" applyAlignment="1">
      <alignment horizontal="left" wrapText="1"/>
    </xf>
    <xf numFmtId="0" fontId="0" fillId="0" borderId="21" xfId="0" applyFill="1" applyBorder="1" applyAlignment="1">
      <alignment horizontal="right"/>
    </xf>
    <xf numFmtId="0" fontId="1" fillId="0" borderId="15" xfId="0" applyNumberFormat="1" applyFont="1" applyFill="1" applyBorder="1" applyAlignment="1">
      <alignment wrapText="1"/>
    </xf>
    <xf numFmtId="0" fontId="1" fillId="0" borderId="40" xfId="0" applyFont="1" applyBorder="1" applyAlignment="1">
      <alignment wrapText="1"/>
    </xf>
    <xf numFmtId="0" fontId="1" fillId="0" borderId="16" xfId="0" applyFont="1" applyBorder="1" applyAlignment="1">
      <alignment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2" fillId="37" borderId="0" xfId="0" applyFont="1" applyFill="1" applyBorder="1" applyAlignment="1">
      <alignment wrapText="1"/>
    </xf>
    <xf numFmtId="0" fontId="63" fillId="0" borderId="0" xfId="0" applyFont="1" applyFill="1" applyBorder="1" applyAlignment="1">
      <alignment wrapText="1"/>
    </xf>
    <xf numFmtId="0" fontId="65" fillId="0" borderId="0" xfId="0" applyFont="1" applyAlignment="1">
      <alignment/>
    </xf>
    <xf numFmtId="0" fontId="6" fillId="37" borderId="34" xfId="0" applyFont="1" applyFill="1" applyBorder="1" applyAlignment="1">
      <alignment vertical="center" wrapText="1"/>
    </xf>
    <xf numFmtId="0" fontId="1" fillId="37" borderId="34" xfId="0" applyFont="1" applyFill="1" applyBorder="1" applyAlignment="1">
      <alignment vertical="center"/>
    </xf>
    <xf numFmtId="0" fontId="2" fillId="0" borderId="12" xfId="0" applyFont="1" applyFill="1" applyBorder="1" applyAlignment="1">
      <alignment horizontal="center" vertical="center"/>
    </xf>
    <xf numFmtId="0" fontId="44"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4" fontId="2" fillId="0" borderId="40"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0" fontId="2" fillId="0" borderId="12" xfId="0" applyFont="1" applyFill="1" applyBorder="1" applyAlignment="1">
      <alignment horizontal="right" vertical="center"/>
    </xf>
    <xf numFmtId="0" fontId="6" fillId="37" borderId="11" xfId="0" applyFont="1" applyFill="1" applyBorder="1" applyAlignment="1">
      <alignment horizontal="left" vertical="center" wrapText="1"/>
    </xf>
    <xf numFmtId="0" fontId="0" fillId="0" borderId="11" xfId="0" applyBorder="1" applyAlignment="1">
      <alignment horizontal="left" vertical="center" wrapText="1"/>
    </xf>
    <xf numFmtId="0" fontId="63" fillId="37" borderId="17" xfId="0" applyFont="1" applyFill="1" applyBorder="1" applyAlignment="1">
      <alignment vertical="center" wrapText="1"/>
    </xf>
    <xf numFmtId="0" fontId="65" fillId="37" borderId="11" xfId="0" applyFont="1" applyFill="1" applyBorder="1" applyAlignment="1">
      <alignment vertical="center"/>
    </xf>
    <xf numFmtId="0" fontId="65" fillId="37" borderId="18" xfId="0" applyFont="1" applyFill="1" applyBorder="1" applyAlignment="1">
      <alignment vertical="center"/>
    </xf>
    <xf numFmtId="0" fontId="19" fillId="0" borderId="15" xfId="0" applyFont="1" applyFill="1" applyBorder="1" applyAlignment="1">
      <alignment wrapText="1"/>
    </xf>
    <xf numFmtId="0" fontId="65" fillId="0" borderId="40" xfId="0" applyFont="1" applyFill="1" applyBorder="1" applyAlignment="1">
      <alignment wrapText="1"/>
    </xf>
    <xf numFmtId="0" fontId="65" fillId="0" borderId="16" xfId="0" applyFont="1" applyFill="1" applyBorder="1" applyAlignment="1">
      <alignment wrapText="1"/>
    </xf>
    <xf numFmtId="0" fontId="1" fillId="0" borderId="15" xfId="0" applyFont="1" applyFill="1" applyBorder="1" applyAlignment="1" applyProtection="1">
      <alignment vertical="center" wrapText="1"/>
      <protection/>
    </xf>
    <xf numFmtId="0" fontId="1" fillId="0" borderId="16" xfId="0" applyFont="1" applyFill="1" applyBorder="1" applyAlignment="1" applyProtection="1">
      <alignment vertical="center" wrapText="1"/>
      <protection/>
    </xf>
    <xf numFmtId="0" fontId="25" fillId="37" borderId="65" xfId="0" applyFont="1" applyFill="1" applyBorder="1" applyAlignment="1" applyProtection="1">
      <alignment vertical="center" wrapText="1"/>
      <protection/>
    </xf>
    <xf numFmtId="0" fontId="0" fillId="0" borderId="40" xfId="0" applyBorder="1" applyAlignment="1" applyProtection="1">
      <alignment vertical="center" wrapText="1"/>
      <protection/>
    </xf>
    <xf numFmtId="0" fontId="44"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1" fillId="0" borderId="15" xfId="0" applyFont="1" applyFill="1" applyBorder="1" applyAlignment="1" applyProtection="1">
      <alignment vertical="center"/>
      <protection/>
    </xf>
    <xf numFmtId="0" fontId="1" fillId="0" borderId="16" xfId="0" applyFont="1" applyFill="1" applyBorder="1" applyAlignment="1" applyProtection="1">
      <alignment vertical="center"/>
      <protection/>
    </xf>
    <xf numFmtId="2" fontId="0" fillId="38" borderId="15" xfId="0" applyNumberFormat="1" applyFill="1"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2" fontId="0" fillId="38" borderId="40" xfId="0" applyNumberFormat="1" applyFill="1" applyBorder="1" applyAlignment="1" applyProtection="1">
      <alignment horizontal="center" vertical="center" wrapText="1"/>
      <protection/>
    </xf>
    <xf numFmtId="0" fontId="25" fillId="47" borderId="65" xfId="0" applyFont="1" applyFill="1" applyBorder="1" applyAlignment="1" applyProtection="1">
      <alignment vertical="center" wrapText="1"/>
      <protection/>
    </xf>
    <xf numFmtId="2" fontId="0" fillId="37" borderId="0" xfId="0" applyNumberFormat="1" applyFill="1" applyBorder="1" applyAlignment="1">
      <alignment horizontal="left" vertical="center" wrapText="1"/>
    </xf>
    <xf numFmtId="0" fontId="0" fillId="0" borderId="0" xfId="0" applyAlignment="1">
      <alignment vertical="center" wrapText="1"/>
    </xf>
    <xf numFmtId="2" fontId="0" fillId="37" borderId="0" xfId="0" applyNumberFormat="1" applyFont="1" applyFill="1" applyBorder="1" applyAlignment="1">
      <alignment horizontal="left" vertical="center" wrapText="1"/>
    </xf>
    <xf numFmtId="0" fontId="18" fillId="0" borderId="0" xfId="0" applyFont="1" applyAlignment="1">
      <alignment horizontal="left"/>
    </xf>
    <xf numFmtId="167" fontId="0" fillId="37" borderId="0" xfId="0" applyNumberFormat="1" applyFont="1" applyFill="1" applyBorder="1" applyAlignment="1">
      <alignment horizontal="left" vertical="center" wrapText="1"/>
    </xf>
    <xf numFmtId="0" fontId="1" fillId="37" borderId="0" xfId="0" applyNumberFormat="1" applyFont="1" applyFill="1" applyBorder="1" applyAlignment="1">
      <alignment horizontal="left" vertical="center" wrapText="1"/>
    </xf>
    <xf numFmtId="0" fontId="1" fillId="0" borderId="0" xfId="0" applyFont="1" applyBorder="1" applyAlignment="1">
      <alignment wrapText="1"/>
    </xf>
    <xf numFmtId="0" fontId="1" fillId="0" borderId="20" xfId="0" applyFont="1" applyBorder="1" applyAlignment="1">
      <alignment wrapText="1"/>
    </xf>
    <xf numFmtId="0" fontId="0" fillId="37" borderId="15" xfId="0" applyFill="1" applyBorder="1" applyAlignment="1">
      <alignment horizontal="left" vertical="center" wrapText="1"/>
    </xf>
    <xf numFmtId="0" fontId="0" fillId="37" borderId="40" xfId="0" applyFill="1" applyBorder="1" applyAlignment="1">
      <alignment horizontal="left" vertical="center" wrapText="1"/>
    </xf>
    <xf numFmtId="0" fontId="0" fillId="37" borderId="16" xfId="0" applyFill="1" applyBorder="1" applyAlignment="1">
      <alignment horizontal="left" vertical="center" wrapText="1"/>
    </xf>
    <xf numFmtId="0" fontId="67" fillId="0" borderId="56" xfId="0" applyFont="1" applyFill="1" applyBorder="1" applyAlignment="1">
      <alignment wrapText="1"/>
    </xf>
    <xf numFmtId="0" fontId="67" fillId="0" borderId="57" xfId="0" applyFont="1" applyFill="1" applyBorder="1" applyAlignment="1">
      <alignment wrapText="1"/>
    </xf>
    <xf numFmtId="0" fontId="67" fillId="0" borderId="58" xfId="0" applyFont="1" applyFill="1" applyBorder="1" applyAlignment="1">
      <alignment wrapText="1"/>
    </xf>
    <xf numFmtId="0" fontId="67" fillId="0" borderId="49" xfId="0" applyFont="1" applyFill="1" applyBorder="1" applyAlignment="1">
      <alignment wrapText="1"/>
    </xf>
    <xf numFmtId="0" fontId="67" fillId="0" borderId="0" xfId="0" applyFont="1" applyFill="1" applyBorder="1" applyAlignment="1">
      <alignment wrapText="1"/>
    </xf>
    <xf numFmtId="0" fontId="67" fillId="0" borderId="50" xfId="0" applyFont="1" applyFill="1" applyBorder="1" applyAlignment="1">
      <alignment wrapText="1"/>
    </xf>
    <xf numFmtId="0" fontId="67" fillId="0" borderId="59" xfId="0" applyFont="1" applyFill="1" applyBorder="1" applyAlignment="1">
      <alignment wrapText="1"/>
    </xf>
    <xf numFmtId="0" fontId="67" fillId="0" borderId="60" xfId="0" applyFont="1" applyFill="1" applyBorder="1" applyAlignment="1">
      <alignment wrapText="1"/>
    </xf>
    <xf numFmtId="0" fontId="67" fillId="0" borderId="61" xfId="0" applyFont="1" applyFill="1" applyBorder="1" applyAlignment="1">
      <alignment wrapText="1"/>
    </xf>
    <xf numFmtId="0" fontId="0" fillId="0" borderId="40" xfId="0" applyBorder="1" applyAlignment="1">
      <alignment horizontal="right" vertical="center"/>
    </xf>
    <xf numFmtId="0" fontId="0" fillId="0" borderId="16" xfId="0" applyBorder="1" applyAlignment="1">
      <alignment horizontal="right" vertical="center"/>
    </xf>
    <xf numFmtId="0" fontId="2" fillId="0" borderId="15" xfId="0" applyFont="1" applyBorder="1" applyAlignment="1">
      <alignment horizontal="right" vertical="center"/>
    </xf>
    <xf numFmtId="0" fontId="23" fillId="37" borderId="0" xfId="0" applyFont="1" applyFill="1" applyBorder="1" applyAlignment="1">
      <alignment vertical="center" wrapText="1"/>
    </xf>
    <xf numFmtId="0" fontId="65" fillId="0" borderId="0" xfId="0" applyFont="1" applyBorder="1" applyAlignment="1">
      <alignment vertical="center" wrapText="1"/>
    </xf>
    <xf numFmtId="0" fontId="1" fillId="0" borderId="0" xfId="0" applyFont="1" applyAlignment="1">
      <alignment wrapText="1"/>
    </xf>
    <xf numFmtId="0" fontId="2" fillId="0" borderId="0" xfId="0" applyNumberFormat="1" applyFont="1" applyAlignment="1">
      <alignment/>
    </xf>
    <xf numFmtId="0" fontId="2" fillId="0" borderId="0" xfId="0" applyFont="1" applyAlignment="1">
      <alignment/>
    </xf>
    <xf numFmtId="0" fontId="0" fillId="0" borderId="0" xfId="0" applyNumberFormat="1" applyAlignment="1">
      <alignment wrapText="1"/>
    </xf>
    <xf numFmtId="0" fontId="0" fillId="0" borderId="0" xfId="0" applyNumberFormat="1" applyFont="1" applyAlignment="1">
      <alignment wrapText="1"/>
    </xf>
    <xf numFmtId="0" fontId="0" fillId="0" borderId="0" xfId="0" applyFont="1" applyAlignment="1">
      <alignment wrapText="1"/>
    </xf>
    <xf numFmtId="3" fontId="0" fillId="0" borderId="12" xfId="0" applyNumberFormat="1" applyFont="1" applyFill="1" applyBorder="1" applyAlignment="1">
      <alignment horizontal="center" vertical="center" wrapText="1"/>
    </xf>
  </cellXfs>
  <cellStyles count="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 xfId="42"/>
    <cellStyle name="Comma" xfId="43"/>
    <cellStyle name="Comma [0]" xfId="44"/>
    <cellStyle name="Comma0" xfId="45"/>
    <cellStyle name="Corner heading" xfId="46"/>
    <cellStyle name="Currency" xfId="47"/>
    <cellStyle name="Currency [0]" xfId="48"/>
    <cellStyle name="Currency0" xfId="49"/>
    <cellStyle name="Data" xfId="50"/>
    <cellStyle name="Data no deci" xfId="51"/>
    <cellStyle name="Data Superscript" xfId="52"/>
    <cellStyle name="Data_1-1A-Regular" xfId="53"/>
    <cellStyle name="Data-one deci" xfId="54"/>
    <cellStyle name="Date" xfId="55"/>
    <cellStyle name="Explanatory Text" xfId="56"/>
    <cellStyle name="Fixed" xfId="57"/>
    <cellStyle name="Followed Hyperlink" xfId="58"/>
    <cellStyle name="Good" xfId="59"/>
    <cellStyle name="Heading 1" xfId="60"/>
    <cellStyle name="Heading 2" xfId="61"/>
    <cellStyle name="Heading 3" xfId="62"/>
    <cellStyle name="Heading 4" xfId="63"/>
    <cellStyle name="Hed Side" xfId="64"/>
    <cellStyle name="Hed Side bold" xfId="65"/>
    <cellStyle name="Hed Side Indent" xfId="66"/>
    <cellStyle name="Hed Side Regular" xfId="67"/>
    <cellStyle name="Hed Side_1-1A-Regular" xfId="68"/>
    <cellStyle name="Hed Top" xfId="69"/>
    <cellStyle name="Hed Top - SECTION" xfId="70"/>
    <cellStyle name="Hed Top_3-new4" xfId="71"/>
    <cellStyle name="Hyperlink" xfId="72"/>
    <cellStyle name="Input" xfId="73"/>
    <cellStyle name="Linked Cell" xfId="74"/>
    <cellStyle name="Milliers [0]_Annex_comb_guideline_version4-2" xfId="75"/>
    <cellStyle name="Milliers_Annex_comb_guideline_version4-2" xfId="76"/>
    <cellStyle name="Monétaire [0]_Annex comb guideline 4-7" xfId="77"/>
    <cellStyle name="Monétaire_Annex_comb_guideline_version4-2" xfId="78"/>
    <cellStyle name="Neutral" xfId="79"/>
    <cellStyle name="Note" xfId="80"/>
    <cellStyle name="Output" xfId="81"/>
    <cellStyle name="Percent" xfId="82"/>
    <cellStyle name="Reference" xfId="83"/>
    <cellStyle name="Row heading" xfId="84"/>
    <cellStyle name="Source Hed" xfId="85"/>
    <cellStyle name="Source Letter" xfId="86"/>
    <cellStyle name="Source Superscript" xfId="87"/>
    <cellStyle name="Source Text" xfId="88"/>
    <cellStyle name="State" xfId="89"/>
    <cellStyle name="Superscript" xfId="90"/>
    <cellStyle name="Superscript- regular" xfId="91"/>
    <cellStyle name="Superscript_1-1A-Regular" xfId="92"/>
    <cellStyle name="Table Data" xfId="93"/>
    <cellStyle name="Table Head Top" xfId="94"/>
    <cellStyle name="Table Hed Side" xfId="95"/>
    <cellStyle name="Table Title" xfId="96"/>
    <cellStyle name="Title" xfId="97"/>
    <cellStyle name="Title Text" xfId="98"/>
    <cellStyle name="Title Text 1" xfId="99"/>
    <cellStyle name="Title Text 2" xfId="100"/>
    <cellStyle name="Title-1" xfId="101"/>
    <cellStyle name="Title-2" xfId="102"/>
    <cellStyle name="Title-3" xfId="103"/>
    <cellStyle name="Total" xfId="104"/>
    <cellStyle name="Warning Text" xfId="105"/>
    <cellStyle name="Wrap" xfId="106"/>
    <cellStyle name="Wrap Bold" xfId="107"/>
    <cellStyle name="Wrap Title" xfId="108"/>
    <cellStyle name="Wrap_NTS99-~11"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WRI\WRI%20calculation%20tools%20-%20mob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cell r="J196">
            <v>1614.481954110483</v>
          </cell>
        </row>
        <row r="197">
          <cell r="E197">
            <v>5</v>
          </cell>
          <cell r="F197">
            <v>1.8033254000000003</v>
          </cell>
          <cell r="G197">
            <v>1803.3254000000004</v>
          </cell>
          <cell r="H197">
            <v>1.6093</v>
          </cell>
          <cell r="I197">
            <v>1120.5650904119807</v>
          </cell>
          <cell r="J197">
            <v>1291.5855632883865</v>
          </cell>
        </row>
        <row r="198">
          <cell r="E198">
            <v>6</v>
          </cell>
          <cell r="F198">
            <v>1.502771166666667</v>
          </cell>
          <cell r="G198">
            <v>1502.7711666666669</v>
          </cell>
          <cell r="H198">
            <v>1.6093</v>
          </cell>
          <cell r="I198">
            <v>933.8042420099838</v>
          </cell>
          <cell r="J198">
            <v>1076.3213027403222</v>
          </cell>
        </row>
        <row r="199">
          <cell r="E199">
            <v>7</v>
          </cell>
          <cell r="F199">
            <v>1.2880895714285716</v>
          </cell>
          <cell r="G199">
            <v>1288.0895714285716</v>
          </cell>
          <cell r="H199">
            <v>1.6093</v>
          </cell>
          <cell r="I199">
            <v>800.4036360085576</v>
          </cell>
          <cell r="J199">
            <v>922.5611166345617</v>
          </cell>
        </row>
        <row r="200">
          <cell r="E200">
            <v>8</v>
          </cell>
          <cell r="F200">
            <v>1.1270783750000002</v>
          </cell>
          <cell r="G200">
            <v>1127.0783750000003</v>
          </cell>
          <cell r="H200">
            <v>1.6093</v>
          </cell>
          <cell r="I200">
            <v>700.3531815074879</v>
          </cell>
          <cell r="J200">
            <v>807.2409770552415</v>
          </cell>
        </row>
        <row r="201">
          <cell r="E201">
            <v>9</v>
          </cell>
          <cell r="F201">
            <v>1.0018474444444445</v>
          </cell>
          <cell r="G201">
            <v>1001.8474444444445</v>
          </cell>
          <cell r="H201">
            <v>1.6093</v>
          </cell>
          <cell r="I201">
            <v>622.5361613399891</v>
          </cell>
          <cell r="J201">
            <v>717.5475351602146</v>
          </cell>
        </row>
        <row r="202">
          <cell r="E202">
            <v>10</v>
          </cell>
          <cell r="F202">
            <v>0.9016627000000002</v>
          </cell>
          <cell r="G202">
            <v>901.6627000000002</v>
          </cell>
          <cell r="H202">
            <v>1.6093</v>
          </cell>
          <cell r="I202">
            <v>560.2825452059903</v>
          </cell>
          <cell r="J202">
            <v>645.7927816441933</v>
          </cell>
        </row>
        <row r="203">
          <cell r="E203">
            <v>11</v>
          </cell>
          <cell r="F203">
            <v>0.8196933636363638</v>
          </cell>
          <cell r="G203">
            <v>819.6933636363638</v>
          </cell>
          <cell r="H203">
            <v>1.6093</v>
          </cell>
          <cell r="I203">
            <v>509.3477683690821</v>
          </cell>
          <cell r="J203">
            <v>587.0843469492665</v>
          </cell>
        </row>
        <row r="204">
          <cell r="E204">
            <v>12</v>
          </cell>
          <cell r="F204">
            <v>0.7513855833333335</v>
          </cell>
          <cell r="G204">
            <v>751.3855833333334</v>
          </cell>
          <cell r="H204">
            <v>1.6093</v>
          </cell>
          <cell r="I204">
            <v>466.9021210049919</v>
          </cell>
          <cell r="J204">
            <v>538.1606513701611</v>
          </cell>
        </row>
        <row r="205">
          <cell r="E205">
            <v>13</v>
          </cell>
          <cell r="F205">
            <v>0.6935866923076924</v>
          </cell>
          <cell r="G205">
            <v>693.5866923076925</v>
          </cell>
          <cell r="H205">
            <v>1.6093</v>
          </cell>
          <cell r="I205">
            <v>430.9865732353772</v>
          </cell>
          <cell r="J205">
            <v>496.7636781878409</v>
          </cell>
        </row>
        <row r="206">
          <cell r="E206">
            <v>14</v>
          </cell>
          <cell r="F206">
            <v>0.6440447857142858</v>
          </cell>
          <cell r="G206">
            <v>644.0447857142858</v>
          </cell>
          <cell r="H206">
            <v>1.6093</v>
          </cell>
          <cell r="I206">
            <v>400.2018180042788</v>
          </cell>
          <cell r="J206">
            <v>461.28055831728085</v>
          </cell>
        </row>
        <row r="207">
          <cell r="E207">
            <v>15</v>
          </cell>
          <cell r="F207">
            <v>0.6011084666666667</v>
          </cell>
          <cell r="G207">
            <v>601.1084666666667</v>
          </cell>
          <cell r="H207">
            <v>1.6093</v>
          </cell>
          <cell r="I207">
            <v>373.52169680399345</v>
          </cell>
          <cell r="J207">
            <v>430.5285210961287</v>
          </cell>
        </row>
        <row r="208">
          <cell r="E208">
            <v>16</v>
          </cell>
          <cell r="F208">
            <v>0.5635391875000001</v>
          </cell>
          <cell r="G208">
            <v>563.5391875000001</v>
          </cell>
          <cell r="H208">
            <v>1.6093</v>
          </cell>
          <cell r="I208">
            <v>350.17659075374394</v>
          </cell>
          <cell r="J208">
            <v>403.62048852762075</v>
          </cell>
        </row>
        <row r="209">
          <cell r="E209">
            <v>17</v>
          </cell>
          <cell r="F209">
            <v>0.5303898235294119</v>
          </cell>
          <cell r="G209">
            <v>530.3898235294118</v>
          </cell>
          <cell r="H209">
            <v>1.6093</v>
          </cell>
          <cell r="I209">
            <v>329.5779677682296</v>
          </cell>
          <cell r="J209">
            <v>379.8781068495254</v>
          </cell>
        </row>
        <row r="210">
          <cell r="E210">
            <v>18</v>
          </cell>
          <cell r="F210">
            <v>0.5009237222222223</v>
          </cell>
          <cell r="G210">
            <v>500.92372222222224</v>
          </cell>
          <cell r="H210">
            <v>1.6093</v>
          </cell>
          <cell r="I210">
            <v>311.26808066999456</v>
          </cell>
          <cell r="J210">
            <v>358.7737675801073</v>
          </cell>
        </row>
        <row r="211">
          <cell r="E211">
            <v>19</v>
          </cell>
          <cell r="F211">
            <v>0.47455931578947375</v>
          </cell>
          <cell r="G211">
            <v>474.55931578947377</v>
          </cell>
          <cell r="H211">
            <v>1.6093</v>
          </cell>
          <cell r="I211">
            <v>294.88555010841594</v>
          </cell>
          <cell r="J211">
            <v>339.8909377074701</v>
          </cell>
        </row>
        <row r="212">
          <cell r="E212">
            <v>20</v>
          </cell>
          <cell r="F212">
            <v>0.4508313500000001</v>
          </cell>
          <cell r="G212">
            <v>450.8313500000001</v>
          </cell>
          <cell r="H212">
            <v>1.6093</v>
          </cell>
          <cell r="I212">
            <v>280.1412726029952</v>
          </cell>
          <cell r="J212">
            <v>322.89639082209663</v>
          </cell>
        </row>
        <row r="213">
          <cell r="E213">
            <v>21</v>
          </cell>
          <cell r="F213">
            <v>0.42936319047619054</v>
          </cell>
          <cell r="G213">
            <v>429.36319047619054</v>
          </cell>
          <cell r="H213">
            <v>1.6093</v>
          </cell>
          <cell r="I213">
            <v>266.80121200285254</v>
          </cell>
          <cell r="J213">
            <v>307.52037221152057</v>
          </cell>
        </row>
        <row r="214">
          <cell r="E214">
            <v>22</v>
          </cell>
          <cell r="F214">
            <v>0.4098466818181819</v>
          </cell>
          <cell r="G214">
            <v>409.8466818181819</v>
          </cell>
          <cell r="H214">
            <v>1.6093</v>
          </cell>
          <cell r="I214">
            <v>254.67388418454104</v>
          </cell>
          <cell r="J214">
            <v>293.5421734746333</v>
          </cell>
        </row>
        <row r="215">
          <cell r="E215">
            <v>23</v>
          </cell>
          <cell r="F215">
            <v>0.3920272608695653</v>
          </cell>
          <cell r="G215">
            <v>392.0272608695653</v>
          </cell>
          <cell r="H215">
            <v>1.6093</v>
          </cell>
          <cell r="I215">
            <v>243.60110661130014</v>
          </cell>
          <cell r="J215">
            <v>280.779470280084</v>
          </cell>
        </row>
        <row r="216">
          <cell r="E216">
            <v>24</v>
          </cell>
          <cell r="F216">
            <v>0.37569279166666675</v>
          </cell>
          <cell r="G216">
            <v>375.6927916666667</v>
          </cell>
          <cell r="H216">
            <v>1.6093</v>
          </cell>
          <cell r="I216">
            <v>233.45106050249595</v>
          </cell>
          <cell r="J216">
            <v>269.08032568508054</v>
          </cell>
        </row>
        <row r="217">
          <cell r="E217">
            <v>25</v>
          </cell>
          <cell r="F217">
            <v>0.3606650800000001</v>
          </cell>
          <cell r="G217">
            <v>360.6650800000001</v>
          </cell>
          <cell r="H217">
            <v>1.6093</v>
          </cell>
          <cell r="I217">
            <v>224.11301808239614</v>
          </cell>
          <cell r="J217">
            <v>258.3171126576773</v>
          </cell>
        </row>
        <row r="218">
          <cell r="E218">
            <v>26</v>
          </cell>
          <cell r="F218">
            <v>0.3467933461538462</v>
          </cell>
          <cell r="G218">
            <v>346.79334615384624</v>
          </cell>
          <cell r="H218">
            <v>1.6093</v>
          </cell>
          <cell r="I218">
            <v>215.4932866176886</v>
          </cell>
          <cell r="J218">
            <v>248.38183909392046</v>
          </cell>
        </row>
        <row r="219">
          <cell r="E219">
            <v>27</v>
          </cell>
          <cell r="F219">
            <v>0.3339491481481482</v>
          </cell>
          <cell r="G219">
            <v>333.9491481481482</v>
          </cell>
          <cell r="H219">
            <v>1.6093</v>
          </cell>
          <cell r="I219">
            <v>207.5120537799964</v>
          </cell>
          <cell r="J219">
            <v>239.18251172007157</v>
          </cell>
        </row>
        <row r="220">
          <cell r="E220">
            <v>28</v>
          </cell>
          <cell r="F220">
            <v>0.3220223928571429</v>
          </cell>
          <cell r="G220">
            <v>322.0223928571429</v>
          </cell>
          <cell r="H220">
            <v>1.6093</v>
          </cell>
          <cell r="I220">
            <v>200.1009090021394</v>
          </cell>
          <cell r="J220">
            <v>230.64027915864042</v>
          </cell>
        </row>
        <row r="221">
          <cell r="E221">
            <v>29</v>
          </cell>
          <cell r="F221">
            <v>0.31091817241379316</v>
          </cell>
          <cell r="G221">
            <v>310.9181724137932</v>
          </cell>
          <cell r="H221">
            <v>1.6093</v>
          </cell>
          <cell r="I221">
            <v>193.20087765723804</v>
          </cell>
          <cell r="J221">
            <v>222.68716608420456</v>
          </cell>
        </row>
        <row r="222">
          <cell r="E222">
            <v>30</v>
          </cell>
          <cell r="F222">
            <v>0.30055423333333336</v>
          </cell>
          <cell r="G222">
            <v>300.55423333333334</v>
          </cell>
          <cell r="H222">
            <v>1.6093</v>
          </cell>
          <cell r="I222">
            <v>186.76084840199672</v>
          </cell>
          <cell r="J222">
            <v>215.26426054806436</v>
          </cell>
        </row>
        <row r="223">
          <cell r="E223">
            <v>31</v>
          </cell>
          <cell r="F223">
            <v>0.29085893548387104</v>
          </cell>
          <cell r="G223">
            <v>290.85893548387105</v>
          </cell>
          <cell r="H223">
            <v>1.6093</v>
          </cell>
          <cell r="I223">
            <v>180.7363049051582</v>
          </cell>
          <cell r="J223">
            <v>208.32025214328817</v>
          </cell>
        </row>
        <row r="224">
          <cell r="E224">
            <v>32</v>
          </cell>
          <cell r="F224">
            <v>0.28176959375000005</v>
          </cell>
          <cell r="G224">
            <v>281.76959375000007</v>
          </cell>
          <cell r="H224">
            <v>1.6093</v>
          </cell>
          <cell r="I224">
            <v>175.08829537687197</v>
          </cell>
          <cell r="J224">
            <v>201.81024426381038</v>
          </cell>
        </row>
        <row r="225">
          <cell r="E225">
            <v>33</v>
          </cell>
          <cell r="F225">
            <v>0.27323112121212123</v>
          </cell>
          <cell r="G225">
            <v>273.23112121212125</v>
          </cell>
          <cell r="H225">
            <v>1.6093</v>
          </cell>
          <cell r="I225">
            <v>169.78258945636068</v>
          </cell>
          <cell r="J225">
            <v>195.69478231642216</v>
          </cell>
        </row>
        <row r="226">
          <cell r="E226">
            <v>34</v>
          </cell>
          <cell r="F226">
            <v>0.26519491176470594</v>
          </cell>
          <cell r="G226">
            <v>265.1949117647059</v>
          </cell>
          <cell r="H226">
            <v>1.6093</v>
          </cell>
          <cell r="I226">
            <v>164.7889838841148</v>
          </cell>
          <cell r="J226">
            <v>189.9390534247627</v>
          </cell>
        </row>
        <row r="227">
          <cell r="E227">
            <v>35</v>
          </cell>
          <cell r="F227">
            <v>0.25761791428571434</v>
          </cell>
          <cell r="G227">
            <v>257.61791428571433</v>
          </cell>
          <cell r="H227">
            <v>1.6093</v>
          </cell>
          <cell r="I227">
            <v>160.0807272017115</v>
          </cell>
          <cell r="J227">
            <v>184.51222332691233</v>
          </cell>
        </row>
        <row r="228">
          <cell r="E228">
            <v>36</v>
          </cell>
          <cell r="F228">
            <v>0.25046186111111113</v>
          </cell>
          <cell r="G228">
            <v>250.46186111111112</v>
          </cell>
          <cell r="H228">
            <v>1.6093</v>
          </cell>
          <cell r="I228">
            <v>155.63404033499728</v>
          </cell>
          <cell r="J228">
            <v>179.38688379005364</v>
          </cell>
        </row>
        <row r="229">
          <cell r="E229">
            <v>37</v>
          </cell>
          <cell r="F229">
            <v>0.24369262162162167</v>
          </cell>
          <cell r="G229">
            <v>243.69262162162167</v>
          </cell>
          <cell r="H229">
            <v>1.6093</v>
          </cell>
          <cell r="I229">
            <v>151.4277149205379</v>
          </cell>
          <cell r="J229">
            <v>174.53858963356572</v>
          </cell>
        </row>
        <row r="230">
          <cell r="E230">
            <v>38</v>
          </cell>
          <cell r="F230">
            <v>0.23727965789473687</v>
          </cell>
          <cell r="G230">
            <v>237.27965789473689</v>
          </cell>
          <cell r="H230">
            <v>1.6093</v>
          </cell>
          <cell r="I230">
            <v>147.44277505420797</v>
          </cell>
          <cell r="J230">
            <v>169.94546885373504</v>
          </cell>
        </row>
        <row r="231">
          <cell r="E231">
            <v>39</v>
          </cell>
          <cell r="F231">
            <v>0.23119556410256414</v>
          </cell>
          <cell r="G231">
            <v>231.19556410256413</v>
          </cell>
          <cell r="H231">
            <v>1.6093</v>
          </cell>
          <cell r="I231">
            <v>143.66219107845905</v>
          </cell>
          <cell r="J231">
            <v>165.5878927292803</v>
          </cell>
        </row>
        <row r="232">
          <cell r="E232">
            <v>40</v>
          </cell>
          <cell r="F232">
            <v>0.22541567500000004</v>
          </cell>
          <cell r="G232">
            <v>225.41567500000005</v>
          </cell>
          <cell r="H232">
            <v>1.6093</v>
          </cell>
          <cell r="I232">
            <v>140.0706363014976</v>
          </cell>
          <cell r="J232">
            <v>161.44819541104832</v>
          </cell>
        </row>
        <row r="233">
          <cell r="E233">
            <v>41</v>
          </cell>
          <cell r="F233">
            <v>0.2199177317073171</v>
          </cell>
          <cell r="G233">
            <v>219.9177317073171</v>
          </cell>
          <cell r="H233">
            <v>1.6093</v>
          </cell>
          <cell r="I233">
            <v>136.6542793185342</v>
          </cell>
          <cell r="J233">
            <v>157.51043454736418</v>
          </cell>
        </row>
        <row r="234">
          <cell r="E234">
            <v>42</v>
          </cell>
          <cell r="F234">
            <v>0.21468159523809527</v>
          </cell>
          <cell r="G234">
            <v>214.68159523809527</v>
          </cell>
          <cell r="H234">
            <v>1.6093</v>
          </cell>
          <cell r="I234">
            <v>133.40060600142627</v>
          </cell>
          <cell r="J234">
            <v>153.76018610576028</v>
          </cell>
        </row>
        <row r="235">
          <cell r="E235">
            <v>43</v>
          </cell>
          <cell r="F235">
            <v>0.20968900000000004</v>
          </cell>
          <cell r="G235">
            <v>209.68900000000005</v>
          </cell>
          <cell r="H235">
            <v>1.6093</v>
          </cell>
          <cell r="I235">
            <v>130.2982663269745</v>
          </cell>
          <cell r="J235">
            <v>150.18436782423097</v>
          </cell>
        </row>
        <row r="236">
          <cell r="E236">
            <v>44</v>
          </cell>
          <cell r="F236">
            <v>0.20492334090909095</v>
          </cell>
          <cell r="G236">
            <v>204.92334090909094</v>
          </cell>
          <cell r="H236">
            <v>1.6093</v>
          </cell>
          <cell r="I236">
            <v>127.33694209227052</v>
          </cell>
          <cell r="J236">
            <v>146.77108673731664</v>
          </cell>
        </row>
        <row r="237">
          <cell r="E237">
            <v>45</v>
          </cell>
          <cell r="F237">
            <v>0.20036948888888892</v>
          </cell>
          <cell r="G237">
            <v>200.36948888888892</v>
          </cell>
          <cell r="H237">
            <v>1.6093</v>
          </cell>
          <cell r="I237">
            <v>124.50723226799785</v>
          </cell>
          <cell r="J237">
            <v>143.50950703204293</v>
          </cell>
        </row>
        <row r="238">
          <cell r="E238">
            <v>46</v>
          </cell>
          <cell r="F238">
            <v>0.19601363043478265</v>
          </cell>
          <cell r="G238">
            <v>196.01363043478264</v>
          </cell>
          <cell r="H238">
            <v>1.6093</v>
          </cell>
          <cell r="I238">
            <v>121.80055330565007</v>
          </cell>
          <cell r="J238">
            <v>140.389735140042</v>
          </cell>
        </row>
        <row r="239">
          <cell r="E239">
            <v>47</v>
          </cell>
          <cell r="F239">
            <v>0.1918431276595745</v>
          </cell>
          <cell r="G239">
            <v>191.84312765957452</v>
          </cell>
          <cell r="H239">
            <v>1.6093</v>
          </cell>
          <cell r="I239">
            <v>119.20905217148731</v>
          </cell>
          <cell r="J239">
            <v>137.40271949876455</v>
          </cell>
        </row>
        <row r="240">
          <cell r="E240">
            <v>48</v>
          </cell>
          <cell r="F240">
            <v>0.18784639583333337</v>
          </cell>
          <cell r="G240">
            <v>187.84639583333336</v>
          </cell>
          <cell r="H240">
            <v>1.6093</v>
          </cell>
          <cell r="I240">
            <v>116.72553025124797</v>
          </cell>
          <cell r="J240">
            <v>134.54016284254027</v>
          </cell>
        </row>
        <row r="241">
          <cell r="E241">
            <v>49</v>
          </cell>
          <cell r="F241">
            <v>0.1840127959183674</v>
          </cell>
          <cell r="G241">
            <v>184.0127959183674</v>
          </cell>
          <cell r="H241">
            <v>1.6093</v>
          </cell>
          <cell r="I241">
            <v>114.3433765726511</v>
          </cell>
          <cell r="J241">
            <v>131.79444523350884</v>
          </cell>
        </row>
        <row r="242">
          <cell r="E242">
            <v>50</v>
          </cell>
          <cell r="F242">
            <v>0.18033254000000004</v>
          </cell>
          <cell r="G242">
            <v>180.33254000000005</v>
          </cell>
          <cell r="H242">
            <v>1.6093</v>
          </cell>
          <cell r="I242">
            <v>112.05650904119807</v>
          </cell>
          <cell r="J242">
            <v>129.15855632883864</v>
          </cell>
        </row>
        <row r="243">
          <cell r="E243">
            <v>51</v>
          </cell>
          <cell r="F243">
            <v>0.17679660784313728</v>
          </cell>
          <cell r="G243">
            <v>176.79660784313728</v>
          </cell>
          <cell r="H243">
            <v>1.6093</v>
          </cell>
          <cell r="I243">
            <v>109.85932258940986</v>
          </cell>
          <cell r="J243">
            <v>126.62603561650847</v>
          </cell>
        </row>
        <row r="244">
          <cell r="E244">
            <v>52</v>
          </cell>
          <cell r="F244">
            <v>0.1733966730769231</v>
          </cell>
          <cell r="G244">
            <v>173.39667307692312</v>
          </cell>
          <cell r="H244">
            <v>1.6093</v>
          </cell>
          <cell r="I244">
            <v>107.7466433088443</v>
          </cell>
          <cell r="J244">
            <v>124.19091954696023</v>
          </cell>
        </row>
        <row r="245">
          <cell r="E245">
            <v>53</v>
          </cell>
          <cell r="F245">
            <v>0.17012503773584908</v>
          </cell>
          <cell r="G245">
            <v>170.12503773584908</v>
          </cell>
          <cell r="H245">
            <v>1.6093</v>
          </cell>
          <cell r="I245">
            <v>105.71368777471514</v>
          </cell>
          <cell r="J245">
            <v>121.84769464984777</v>
          </cell>
        </row>
        <row r="246">
          <cell r="E246">
            <v>54</v>
          </cell>
          <cell r="F246">
            <v>0.1669745740740741</v>
          </cell>
          <cell r="G246">
            <v>166.9745740740741</v>
          </cell>
          <cell r="H246">
            <v>1.6093</v>
          </cell>
          <cell r="I246">
            <v>103.7560268899982</v>
          </cell>
          <cell r="J246">
            <v>119.59125586003579</v>
          </cell>
        </row>
        <row r="247">
          <cell r="E247">
            <v>55</v>
          </cell>
          <cell r="F247">
            <v>0.16393867272727275</v>
          </cell>
          <cell r="G247">
            <v>163.93867272727275</v>
          </cell>
          <cell r="H247">
            <v>1.6093</v>
          </cell>
          <cell r="I247">
            <v>101.86955367381641</v>
          </cell>
          <cell r="J247">
            <v>117.41686938985332</v>
          </cell>
        </row>
        <row r="248">
          <cell r="E248">
            <v>56</v>
          </cell>
          <cell r="F248">
            <v>0.16101119642857145</v>
          </cell>
          <cell r="G248">
            <v>161.01119642857145</v>
          </cell>
          <cell r="H248">
            <v>1.6093</v>
          </cell>
          <cell r="I248">
            <v>100.0504545010697</v>
          </cell>
          <cell r="J248">
            <v>115.32013957932021</v>
          </cell>
        </row>
        <row r="249">
          <cell r="E249">
            <v>57</v>
          </cell>
          <cell r="F249">
            <v>0.15818643859649126</v>
          </cell>
          <cell r="G249">
            <v>158.18643859649126</v>
          </cell>
          <cell r="H249">
            <v>1.6093</v>
          </cell>
          <cell r="I249">
            <v>98.29518336947199</v>
          </cell>
          <cell r="J249">
            <v>113.29697923582337</v>
          </cell>
        </row>
        <row r="250">
          <cell r="E250">
            <v>58</v>
          </cell>
          <cell r="F250">
            <v>0.15545908620689658</v>
          </cell>
          <cell r="G250">
            <v>155.4590862068966</v>
          </cell>
          <cell r="H250">
            <v>1.6093</v>
          </cell>
          <cell r="I250">
            <v>96.60043882861902</v>
          </cell>
          <cell r="J250">
            <v>111.34358304210228</v>
          </cell>
        </row>
        <row r="251">
          <cell r="E251">
            <v>59</v>
          </cell>
          <cell r="F251">
            <v>0.152824186440678</v>
          </cell>
          <cell r="G251">
            <v>152.824186440678</v>
          </cell>
          <cell r="H251">
            <v>1.6093</v>
          </cell>
          <cell r="I251">
            <v>94.9631432552526</v>
          </cell>
          <cell r="J251">
            <v>109.45640366850733</v>
          </cell>
        </row>
        <row r="252">
          <cell r="E252">
            <v>60</v>
          </cell>
          <cell r="F252">
            <v>0.15027711666666668</v>
          </cell>
          <cell r="G252">
            <v>150.27711666666667</v>
          </cell>
          <cell r="H252">
            <v>1.6093</v>
          </cell>
          <cell r="I252">
            <v>93.38042420099836</v>
          </cell>
          <cell r="J252">
            <v>107.63213027403218</v>
          </cell>
        </row>
        <row r="253">
          <cell r="E253">
            <v>61</v>
          </cell>
          <cell r="F253">
            <v>0.1478135573770492</v>
          </cell>
          <cell r="G253">
            <v>147.81355737704922</v>
          </cell>
          <cell r="H253">
            <v>1.6093</v>
          </cell>
          <cell r="I253">
            <v>91.84959757475252</v>
          </cell>
          <cell r="J253">
            <v>105.8676691219989</v>
          </cell>
        </row>
        <row r="254">
          <cell r="E254">
            <v>62</v>
          </cell>
          <cell r="F254">
            <v>0.14542946774193552</v>
          </cell>
          <cell r="G254">
            <v>145.42946774193553</v>
          </cell>
          <cell r="H254">
            <v>1.6093</v>
          </cell>
          <cell r="I254">
            <v>90.3681524525791</v>
          </cell>
          <cell r="J254">
            <v>104.16012607164409</v>
          </cell>
        </row>
        <row r="255">
          <cell r="E255">
            <v>63</v>
          </cell>
          <cell r="F255">
            <v>0.14312106349206352</v>
          </cell>
          <cell r="G255">
            <v>143.1210634920635</v>
          </cell>
          <cell r="H255">
            <v>1.6093</v>
          </cell>
          <cell r="I255">
            <v>88.93373733428417</v>
          </cell>
          <cell r="J255">
            <v>102.50679073717353</v>
          </cell>
        </row>
        <row r="256">
          <cell r="E256">
            <v>64</v>
          </cell>
          <cell r="F256">
            <v>0.14088479687500002</v>
          </cell>
          <cell r="G256">
            <v>140.88479687500003</v>
          </cell>
          <cell r="H256">
            <v>1.6093</v>
          </cell>
          <cell r="I256">
            <v>87.54414768843598</v>
          </cell>
          <cell r="J256">
            <v>100.90512213190519</v>
          </cell>
        </row>
        <row r="257">
          <cell r="E257">
            <v>65</v>
          </cell>
          <cell r="F257">
            <v>0.1387173384615385</v>
          </cell>
          <cell r="G257">
            <v>138.7173384615385</v>
          </cell>
          <cell r="H257">
            <v>1.6093</v>
          </cell>
          <cell r="I257">
            <v>86.19731464707544</v>
          </cell>
          <cell r="J257">
            <v>99.3527356375682</v>
          </cell>
        </row>
        <row r="258">
          <cell r="E258">
            <v>66</v>
          </cell>
          <cell r="F258">
            <v>0.13661556060606062</v>
          </cell>
          <cell r="G258">
            <v>136.61556060606063</v>
          </cell>
          <cell r="H258">
            <v>1.6093</v>
          </cell>
          <cell r="I258">
            <v>84.89129472818034</v>
          </cell>
          <cell r="J258">
            <v>97.84739115821108</v>
          </cell>
        </row>
        <row r="259">
          <cell r="E259">
            <v>67</v>
          </cell>
          <cell r="F259">
            <v>0.13457652238805973</v>
          </cell>
          <cell r="G259">
            <v>134.57652238805971</v>
          </cell>
          <cell r="H259">
            <v>1.6093</v>
          </cell>
          <cell r="I259">
            <v>83.624260478506</v>
          </cell>
          <cell r="J259">
            <v>96.3869823349542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39"/>
  <sheetViews>
    <sheetView tabSelected="1" zoomScale="75" zoomScaleNormal="75" zoomScalePageLayoutView="0" workbookViewId="0" topLeftCell="A1">
      <selection activeCell="L21" sqref="L21"/>
    </sheetView>
  </sheetViews>
  <sheetFormatPr defaultColWidth="9.140625" defaultRowHeight="12.75"/>
  <cols>
    <col min="2" max="2" width="5.421875" style="0" customWidth="1"/>
    <col min="3" max="3" width="17.28125" style="0" customWidth="1"/>
    <col min="4" max="6" width="15.28125" style="0" customWidth="1"/>
    <col min="7" max="7" width="24.57421875" style="0" customWidth="1"/>
    <col min="10" max="10" width="10.8515625" style="0" customWidth="1"/>
  </cols>
  <sheetData>
    <row r="1" spans="2:10" s="16" customFormat="1" ht="79.5" customHeight="1" thickTop="1">
      <c r="B1" s="905" t="s">
        <v>843</v>
      </c>
      <c r="C1" s="906"/>
      <c r="D1" s="906"/>
      <c r="E1" s="906"/>
      <c r="F1" s="906"/>
      <c r="G1" s="906"/>
      <c r="H1" s="906"/>
      <c r="I1" s="906"/>
      <c r="J1" s="907"/>
    </row>
    <row r="2" spans="2:10" s="16" customFormat="1" ht="39.75" customHeight="1">
      <c r="B2" s="862"/>
      <c r="C2" s="899" t="s">
        <v>812</v>
      </c>
      <c r="D2" s="899"/>
      <c r="E2" s="899"/>
      <c r="F2" s="899"/>
      <c r="G2" s="899"/>
      <c r="H2" s="899"/>
      <c r="I2" s="899"/>
      <c r="J2" s="863"/>
    </row>
    <row r="3" spans="2:10" ht="41.25" customHeight="1">
      <c r="B3" s="57"/>
      <c r="C3" s="899" t="s">
        <v>190</v>
      </c>
      <c r="D3" s="919"/>
      <c r="E3" s="919"/>
      <c r="F3" s="919"/>
      <c r="G3" s="919"/>
      <c r="H3" s="920"/>
      <c r="I3" s="920"/>
      <c r="J3" s="58"/>
    </row>
    <row r="4" spans="2:10" ht="15.75" customHeight="1">
      <c r="B4" s="57"/>
      <c r="C4" s="65"/>
      <c r="D4" s="65"/>
      <c r="E4" s="65"/>
      <c r="F4" s="65"/>
      <c r="G4" s="65"/>
      <c r="H4" s="65"/>
      <c r="I4" s="65"/>
      <c r="J4" s="58"/>
    </row>
    <row r="5" spans="2:10" ht="12.75">
      <c r="B5" s="57"/>
      <c r="C5" s="913" t="s">
        <v>193</v>
      </c>
      <c r="D5" s="913"/>
      <c r="E5" s="913"/>
      <c r="F5" s="913"/>
      <c r="G5" s="913"/>
      <c r="H5" s="914"/>
      <c r="I5" s="915"/>
      <c r="J5" s="916"/>
    </row>
    <row r="6" spans="2:10" ht="12.75">
      <c r="B6" s="57"/>
      <c r="C6" s="913"/>
      <c r="D6" s="913"/>
      <c r="E6" s="913"/>
      <c r="F6" s="913"/>
      <c r="G6" s="913"/>
      <c r="H6" s="914"/>
      <c r="I6" s="915"/>
      <c r="J6" s="916"/>
    </row>
    <row r="7" spans="2:10" ht="12.75">
      <c r="B7" s="57"/>
      <c r="C7" s="913"/>
      <c r="D7" s="913"/>
      <c r="E7" s="913"/>
      <c r="F7" s="913"/>
      <c r="G7" s="913"/>
      <c r="H7" s="914"/>
      <c r="I7" s="915"/>
      <c r="J7" s="916"/>
    </row>
    <row r="8" spans="2:10" ht="12.75">
      <c r="B8" s="57"/>
      <c r="C8" s="913"/>
      <c r="D8" s="913"/>
      <c r="E8" s="913"/>
      <c r="F8" s="913"/>
      <c r="G8" s="913"/>
      <c r="H8" s="914"/>
      <c r="I8" s="915"/>
      <c r="J8" s="916"/>
    </row>
    <row r="9" spans="2:10" ht="15.75" customHeight="1">
      <c r="B9" s="57"/>
      <c r="C9" s="913"/>
      <c r="D9" s="913"/>
      <c r="E9" s="913"/>
      <c r="F9" s="913"/>
      <c r="G9" s="913"/>
      <c r="H9" s="914"/>
      <c r="I9" s="915"/>
      <c r="J9" s="916"/>
    </row>
    <row r="10" spans="2:10" ht="44.25" customHeight="1">
      <c r="B10" s="57"/>
      <c r="C10" s="913"/>
      <c r="D10" s="913"/>
      <c r="E10" s="913"/>
      <c r="F10" s="913"/>
      <c r="G10" s="913"/>
      <c r="H10" s="914"/>
      <c r="I10" s="915"/>
      <c r="J10" s="916"/>
    </row>
    <row r="11" spans="2:10" ht="12.75" customHeight="1">
      <c r="B11" s="57"/>
      <c r="C11" s="290"/>
      <c r="D11" s="290"/>
      <c r="E11" s="290"/>
      <c r="F11" s="290"/>
      <c r="G11" s="290"/>
      <c r="H11" s="291"/>
      <c r="I11" s="292"/>
      <c r="J11" s="293"/>
    </row>
    <row r="12" spans="2:13" ht="29.25" customHeight="1">
      <c r="B12" s="57"/>
      <c r="C12" s="908" t="s">
        <v>355</v>
      </c>
      <c r="D12" s="909"/>
      <c r="E12" s="909"/>
      <c r="F12" s="909"/>
      <c r="G12" s="909"/>
      <c r="H12" s="909"/>
      <c r="I12" s="910"/>
      <c r="J12" s="911"/>
      <c r="M12" s="654"/>
    </row>
    <row r="13" spans="2:13" ht="11.25" customHeight="1">
      <c r="B13" s="57"/>
      <c r="C13" s="917"/>
      <c r="D13" s="918"/>
      <c r="E13" s="918"/>
      <c r="F13" s="918"/>
      <c r="G13" s="918"/>
      <c r="H13" s="918"/>
      <c r="I13" s="65"/>
      <c r="J13" s="58"/>
      <c r="M13" s="654"/>
    </row>
    <row r="14" spans="2:13" s="270" customFormat="1" ht="15">
      <c r="B14" s="78"/>
      <c r="C14" s="912" t="s">
        <v>811</v>
      </c>
      <c r="D14" s="912"/>
      <c r="E14" s="912"/>
      <c r="F14" s="912"/>
      <c r="G14" s="912"/>
      <c r="H14" s="912"/>
      <c r="I14" s="79"/>
      <c r="J14" s="114"/>
      <c r="M14" s="654"/>
    </row>
    <row r="15" spans="2:13" s="270" customFormat="1" ht="21" customHeight="1">
      <c r="B15" s="78"/>
      <c r="C15" s="912"/>
      <c r="D15" s="912"/>
      <c r="E15" s="912"/>
      <c r="F15" s="912"/>
      <c r="G15" s="912"/>
      <c r="H15" s="912"/>
      <c r="I15" s="79"/>
      <c r="J15" s="114"/>
      <c r="M15" s="654"/>
    </row>
    <row r="16" spans="2:13" s="270" customFormat="1" ht="15" customHeight="1">
      <c r="B16" s="78"/>
      <c r="C16" s="275"/>
      <c r="D16" s="269" t="s">
        <v>784</v>
      </c>
      <c r="E16" s="79"/>
      <c r="F16" s="79"/>
      <c r="G16" s="79"/>
      <c r="H16" s="79"/>
      <c r="I16" s="79"/>
      <c r="J16" s="114"/>
      <c r="M16" s="654"/>
    </row>
    <row r="17" spans="2:13" s="270" customFormat="1" ht="15" customHeight="1">
      <c r="B17" s="78"/>
      <c r="C17" s="79"/>
      <c r="D17" s="269" t="s">
        <v>785</v>
      </c>
      <c r="E17" s="79"/>
      <c r="F17" s="79"/>
      <c r="G17" s="79"/>
      <c r="H17" s="79"/>
      <c r="I17" s="79"/>
      <c r="J17" s="114"/>
      <c r="M17" s="654"/>
    </row>
    <row r="18" spans="2:13" s="270" customFormat="1" ht="15" customHeight="1">
      <c r="B18" s="78"/>
      <c r="C18" s="79"/>
      <c r="D18" s="269" t="s">
        <v>298</v>
      </c>
      <c r="E18" s="79"/>
      <c r="F18" s="79"/>
      <c r="G18" s="79"/>
      <c r="H18" s="79"/>
      <c r="I18" s="79"/>
      <c r="J18" s="114"/>
      <c r="M18" s="654"/>
    </row>
    <row r="19" spans="2:13" s="270" customFormat="1" ht="15" customHeight="1">
      <c r="B19" s="78"/>
      <c r="C19" s="79"/>
      <c r="D19" s="269" t="s">
        <v>804</v>
      </c>
      <c r="E19" s="79"/>
      <c r="F19" s="79"/>
      <c r="G19" s="79"/>
      <c r="H19" s="79"/>
      <c r="I19" s="79"/>
      <c r="J19" s="114"/>
      <c r="M19" s="654"/>
    </row>
    <row r="20" spans="2:10" s="270" customFormat="1" ht="15" customHeight="1">
      <c r="B20" s="78"/>
      <c r="C20" s="79"/>
      <c r="D20" s="269" t="s">
        <v>787</v>
      </c>
      <c r="E20" s="79"/>
      <c r="F20" s="79"/>
      <c r="G20" s="79"/>
      <c r="H20" s="79"/>
      <c r="I20" s="79"/>
      <c r="J20" s="114"/>
    </row>
    <row r="21" spans="2:10" s="270" customFormat="1" ht="15" customHeight="1">
      <c r="B21" s="78"/>
      <c r="C21" s="79"/>
      <c r="D21" s="269" t="s">
        <v>345</v>
      </c>
      <c r="E21" s="79"/>
      <c r="F21" s="79"/>
      <c r="G21" s="79"/>
      <c r="H21" s="79"/>
      <c r="I21" s="79"/>
      <c r="J21" s="114"/>
    </row>
    <row r="22" spans="2:10" s="270" customFormat="1" ht="15" customHeight="1">
      <c r="B22" s="78"/>
      <c r="C22" s="79"/>
      <c r="D22" s="269" t="s">
        <v>806</v>
      </c>
      <c r="E22" s="79"/>
      <c r="F22" s="79"/>
      <c r="G22" s="79"/>
      <c r="H22" s="79"/>
      <c r="I22" s="79"/>
      <c r="J22" s="114"/>
    </row>
    <row r="23" spans="2:10" s="270" customFormat="1" ht="15" customHeight="1">
      <c r="B23" s="78"/>
      <c r="C23" s="79"/>
      <c r="D23" s="269" t="s">
        <v>807</v>
      </c>
      <c r="E23" s="79"/>
      <c r="F23" s="79"/>
      <c r="G23" s="79"/>
      <c r="H23" s="79"/>
      <c r="I23" s="79"/>
      <c r="J23" s="114"/>
    </row>
    <row r="24" spans="2:10" s="270" customFormat="1" ht="17.25" customHeight="1">
      <c r="B24" s="78"/>
      <c r="C24" s="79"/>
      <c r="D24" s="269" t="s">
        <v>299</v>
      </c>
      <c r="E24" s="79"/>
      <c r="F24" s="79"/>
      <c r="G24" s="79"/>
      <c r="H24" s="79"/>
      <c r="I24" s="79"/>
      <c r="J24" s="114"/>
    </row>
    <row r="25" spans="2:10" s="270" customFormat="1" ht="15" customHeight="1">
      <c r="B25" s="78"/>
      <c r="C25" s="79"/>
      <c r="D25" s="79" t="s">
        <v>808</v>
      </c>
      <c r="E25" s="79"/>
      <c r="F25" s="79"/>
      <c r="G25" s="79"/>
      <c r="H25" s="79"/>
      <c r="I25" s="79"/>
      <c r="J25" s="114"/>
    </row>
    <row r="26" spans="2:10" s="270" customFormat="1" ht="17.25" customHeight="1">
      <c r="B26" s="78"/>
      <c r="C26" s="79"/>
      <c r="D26" s="269" t="s">
        <v>236</v>
      </c>
      <c r="E26" s="79"/>
      <c r="F26" s="79"/>
      <c r="G26" s="79"/>
      <c r="H26" s="79"/>
      <c r="I26" s="79"/>
      <c r="J26" s="114"/>
    </row>
    <row r="27" spans="2:10" s="270" customFormat="1" ht="14.25" customHeight="1">
      <c r="B27" s="78"/>
      <c r="C27" s="79"/>
      <c r="D27" s="269"/>
      <c r="E27" s="79"/>
      <c r="F27" s="79"/>
      <c r="G27" s="79"/>
      <c r="H27" s="79"/>
      <c r="I27" s="79"/>
      <c r="J27" s="114"/>
    </row>
    <row r="28" spans="2:14" s="270" customFormat="1" ht="176.25" customHeight="1">
      <c r="B28" s="78"/>
      <c r="C28" s="912" t="s">
        <v>237</v>
      </c>
      <c r="D28" s="902"/>
      <c r="E28" s="902"/>
      <c r="F28" s="902"/>
      <c r="G28" s="902"/>
      <c r="H28" s="902"/>
      <c r="I28" s="902"/>
      <c r="J28" s="114"/>
      <c r="N28" s="653"/>
    </row>
    <row r="29" spans="2:14" s="270" customFormat="1" ht="14.25" customHeight="1">
      <c r="B29" s="78"/>
      <c r="C29" s="79"/>
      <c r="D29" s="269"/>
      <c r="E29" s="79"/>
      <c r="F29" s="79"/>
      <c r="G29" s="79"/>
      <c r="H29" s="79"/>
      <c r="I29" s="79"/>
      <c r="J29" s="114"/>
      <c r="N29" s="653"/>
    </row>
    <row r="30" spans="2:14" s="270" customFormat="1" ht="42.75" customHeight="1">
      <c r="B30" s="78"/>
      <c r="C30" s="899" t="s">
        <v>288</v>
      </c>
      <c r="D30" s="900"/>
      <c r="E30" s="900"/>
      <c r="F30" s="900"/>
      <c r="G30" s="900"/>
      <c r="H30" s="900"/>
      <c r="I30" s="900"/>
      <c r="J30" s="114"/>
      <c r="N30" s="653"/>
    </row>
    <row r="31" spans="2:14" s="270" customFormat="1" ht="14.25" customHeight="1">
      <c r="B31" s="78"/>
      <c r="C31" s="79"/>
      <c r="D31" s="269"/>
      <c r="E31" s="79"/>
      <c r="F31" s="79"/>
      <c r="G31" s="79"/>
      <c r="H31" s="79"/>
      <c r="I31" s="79"/>
      <c r="J31" s="114"/>
      <c r="N31" s="653"/>
    </row>
    <row r="32" spans="2:14" s="270" customFormat="1" ht="53.25" customHeight="1">
      <c r="B32" s="78"/>
      <c r="C32" s="657" t="s">
        <v>290</v>
      </c>
      <c r="D32" s="901" t="s">
        <v>289</v>
      </c>
      <c r="E32" s="902"/>
      <c r="F32" s="902"/>
      <c r="G32" s="902"/>
      <c r="H32" s="902"/>
      <c r="I32" s="902"/>
      <c r="J32" s="114"/>
      <c r="N32" s="653"/>
    </row>
    <row r="33" spans="2:14" s="270" customFormat="1" ht="54.75" customHeight="1">
      <c r="B33" s="78"/>
      <c r="C33" s="657" t="s">
        <v>291</v>
      </c>
      <c r="D33" s="901" t="s">
        <v>293</v>
      </c>
      <c r="E33" s="902"/>
      <c r="F33" s="902"/>
      <c r="G33" s="902"/>
      <c r="H33" s="902"/>
      <c r="I33" s="902"/>
      <c r="J33" s="114"/>
      <c r="N33" s="653"/>
    </row>
    <row r="34" spans="2:14" ht="168.75" customHeight="1">
      <c r="B34" s="57"/>
      <c r="C34" s="657" t="s">
        <v>292</v>
      </c>
      <c r="D34" s="903" t="s">
        <v>294</v>
      </c>
      <c r="E34" s="904"/>
      <c r="F34" s="904"/>
      <c r="G34" s="904"/>
      <c r="H34" s="904"/>
      <c r="I34" s="904"/>
      <c r="J34" s="58"/>
      <c r="N34" s="653"/>
    </row>
    <row r="35" spans="2:14" ht="13.5" customHeight="1" thickBot="1">
      <c r="B35" s="80"/>
      <c r="C35" s="81"/>
      <c r="D35" s="81"/>
      <c r="E35" s="81"/>
      <c r="F35" s="81"/>
      <c r="G35" s="81"/>
      <c r="H35" s="81"/>
      <c r="I35" s="81"/>
      <c r="J35" s="77"/>
      <c r="K35" s="621"/>
      <c r="N35" s="26"/>
    </row>
    <row r="36" spans="3:9" ht="13.5" customHeight="1" thickTop="1">
      <c r="C36" s="31"/>
      <c r="D36" s="31"/>
      <c r="E36" s="31"/>
      <c r="F36" s="31"/>
      <c r="G36" s="31"/>
      <c r="H36" s="31"/>
      <c r="I36" s="31"/>
    </row>
    <row r="37" spans="3:9" ht="13.5" customHeight="1">
      <c r="C37" s="31"/>
      <c r="D37" s="31"/>
      <c r="E37" s="31"/>
      <c r="F37" s="31"/>
      <c r="G37" s="31"/>
      <c r="H37" s="31"/>
      <c r="I37" s="31"/>
    </row>
    <row r="38" spans="3:9" ht="13.5" customHeight="1">
      <c r="C38" s="31"/>
      <c r="D38" s="31"/>
      <c r="E38" s="31"/>
      <c r="F38" s="31"/>
      <c r="G38" s="31"/>
      <c r="H38" s="31"/>
      <c r="I38" s="31"/>
    </row>
    <row r="39" spans="3:9" ht="14.25" customHeight="1">
      <c r="C39" s="31"/>
      <c r="D39" s="31"/>
      <c r="E39" s="31"/>
      <c r="F39" s="31"/>
      <c r="G39" s="31"/>
      <c r="H39" s="31"/>
      <c r="I39" s="31"/>
    </row>
  </sheetData>
  <sheetProtection password="CD08" sheet="1" objects="1" scenarios="1"/>
  <mergeCells count="12">
    <mergeCell ref="C3:I3"/>
    <mergeCell ref="C2:I2"/>
    <mergeCell ref="C30:I30"/>
    <mergeCell ref="D32:I32"/>
    <mergeCell ref="D33:I33"/>
    <mergeCell ref="D34:I34"/>
    <mergeCell ref="B1:J1"/>
    <mergeCell ref="C12:J12"/>
    <mergeCell ref="C28:I28"/>
    <mergeCell ref="C5:J10"/>
    <mergeCell ref="C14:H15"/>
    <mergeCell ref="C13:H13"/>
  </mergeCells>
  <printOptions/>
  <pageMargins left="0.75" right="0.75" top="1" bottom="1" header="0.5" footer="0.5"/>
  <pageSetup fitToHeight="1" fitToWidth="1" horizontalDpi="600" verticalDpi="600" orientation="portrait" scale="62" r:id="rId1"/>
  <headerFooter alignWithMargins="0">
    <oddHeader>&amp;L&amp;D&amp;R&amp;F</oddHeader>
  </headerFooter>
  <ignoredErrors>
    <ignoredError sqref="C32:C34"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1:O36"/>
  <sheetViews>
    <sheetView zoomScale="75" zoomScaleNormal="75" zoomScalePageLayoutView="0" workbookViewId="0" topLeftCell="A1">
      <selection activeCell="A1" sqref="A1"/>
    </sheetView>
  </sheetViews>
  <sheetFormatPr defaultColWidth="9.7109375" defaultRowHeight="12.75"/>
  <cols>
    <col min="1" max="1" width="4.00390625" style="4" customWidth="1"/>
    <col min="2" max="2" width="3.8515625" style="4" customWidth="1"/>
    <col min="3" max="3" width="31.57421875" style="4" customWidth="1"/>
    <col min="4" max="4" width="17.00390625" style="4" customWidth="1"/>
    <col min="5" max="5" width="19.140625" style="4" customWidth="1"/>
    <col min="6" max="6" width="19.57421875" style="4" customWidth="1"/>
    <col min="7" max="7" width="21.140625" style="4" customWidth="1"/>
    <col min="8" max="8" width="25.7109375" style="4" customWidth="1"/>
    <col min="9" max="9" width="21.00390625" style="4" customWidth="1"/>
    <col min="10" max="10" width="22.57421875" style="4" customWidth="1"/>
    <col min="11" max="11" width="21.421875" style="4" customWidth="1"/>
    <col min="12" max="12" width="24.8515625" style="4" customWidth="1"/>
    <col min="13" max="13" width="15.7109375" style="4" customWidth="1"/>
    <col min="14" max="14" width="29.7109375" style="4" customWidth="1"/>
    <col min="15" max="16384" width="9.7109375" style="4" customWidth="1"/>
  </cols>
  <sheetData>
    <row r="1" spans="2:13" ht="56.25" customHeight="1">
      <c r="B1" s="1017" t="s">
        <v>355</v>
      </c>
      <c r="C1" s="1018"/>
      <c r="D1" s="1018"/>
      <c r="E1" s="1018"/>
      <c r="F1" s="1018"/>
      <c r="G1" s="1018"/>
      <c r="H1" s="1019"/>
      <c r="I1" s="1019"/>
      <c r="J1" s="1020"/>
      <c r="K1" s="1021"/>
      <c r="L1" s="1021"/>
      <c r="M1" s="1021"/>
    </row>
    <row r="2" ht="21.75" customHeight="1">
      <c r="C2" s="512" t="s">
        <v>336</v>
      </c>
    </row>
    <row r="3" ht="18" customHeight="1">
      <c r="C3" s="38"/>
    </row>
    <row r="4" s="1" customFormat="1" ht="19.5" customHeight="1">
      <c r="C4" s="179" t="s">
        <v>339</v>
      </c>
    </row>
    <row r="5" s="1" customFormat="1" ht="19.5" customHeight="1">
      <c r="C5" s="177" t="s">
        <v>352</v>
      </c>
    </row>
    <row r="6" s="1" customFormat="1" ht="19.5" customHeight="1" thickBot="1">
      <c r="C6" s="177"/>
    </row>
    <row r="7" spans="2:7" s="1" customFormat="1" ht="18" customHeight="1" thickTop="1">
      <c r="B7" s="504" t="s">
        <v>307</v>
      </c>
      <c r="C7" s="495"/>
      <c r="D7" s="499"/>
      <c r="E7" s="495"/>
      <c r="F7" s="652"/>
      <c r="G7" s="508"/>
    </row>
    <row r="8" spans="2:7" s="1" customFormat="1" ht="18" customHeight="1">
      <c r="B8" s="651"/>
      <c r="D8" s="944" t="s">
        <v>728</v>
      </c>
      <c r="E8" s="1005"/>
      <c r="F8" s="160"/>
      <c r="G8" s="355"/>
    </row>
    <row r="9" spans="2:7" s="1" customFormat="1" ht="18" customHeight="1">
      <c r="B9" s="503"/>
      <c r="D9" s="944" t="s">
        <v>558</v>
      </c>
      <c r="E9" s="944"/>
      <c r="F9" s="481"/>
      <c r="G9" s="355"/>
    </row>
    <row r="10" spans="2:7" s="1" customFormat="1" ht="18" customHeight="1">
      <c r="B10" s="503"/>
      <c r="D10" s="944" t="s">
        <v>399</v>
      </c>
      <c r="E10" s="1005"/>
      <c r="F10" s="163"/>
      <c r="G10" s="355"/>
    </row>
    <row r="11" spans="2:7" s="1" customFormat="1" ht="18" customHeight="1" thickBot="1">
      <c r="B11" s="493"/>
      <c r="C11" s="469"/>
      <c r="D11" s="469"/>
      <c r="E11" s="469"/>
      <c r="F11" s="469"/>
      <c r="G11" s="494"/>
    </row>
    <row r="12" s="1" customFormat="1" ht="18" customHeight="1" thickBot="1" thickTop="1">
      <c r="B12" s="2"/>
    </row>
    <row r="13" spans="2:15" s="1" customFormat="1" ht="38.25" customHeight="1" thickTop="1">
      <c r="B13" s="54"/>
      <c r="C13" s="1025" t="s">
        <v>484</v>
      </c>
      <c r="D13" s="1026"/>
      <c r="E13" s="1026"/>
      <c r="F13" s="1026"/>
      <c r="G13" s="1026"/>
      <c r="H13" s="1026"/>
      <c r="I13" s="55"/>
      <c r="J13" s="55"/>
      <c r="K13" s="55"/>
      <c r="L13" s="55"/>
      <c r="M13" s="55"/>
      <c r="N13" s="55"/>
      <c r="O13" s="56"/>
    </row>
    <row r="14" spans="2:15" s="1" customFormat="1" ht="15" customHeight="1" thickBot="1">
      <c r="B14" s="80"/>
      <c r="C14" s="268"/>
      <c r="D14" s="81"/>
      <c r="E14" s="81"/>
      <c r="F14" s="81"/>
      <c r="G14" s="81"/>
      <c r="H14" s="81"/>
      <c r="I14" s="81"/>
      <c r="J14" s="81"/>
      <c r="K14" s="81"/>
      <c r="L14" s="81"/>
      <c r="M14" s="81"/>
      <c r="N14" s="81"/>
      <c r="O14" s="77"/>
    </row>
    <row r="15" spans="2:15" s="1" customFormat="1" ht="18" customHeight="1" thickTop="1">
      <c r="B15" s="57"/>
      <c r="C15" s="65"/>
      <c r="D15" s="65"/>
      <c r="E15" s="65"/>
      <c r="F15" s="65"/>
      <c r="G15" s="65"/>
      <c r="H15" s="65"/>
      <c r="I15" s="65"/>
      <c r="J15" s="65"/>
      <c r="K15" s="65"/>
      <c r="L15" s="65"/>
      <c r="M15" s="65"/>
      <c r="N15" s="65"/>
      <c r="O15" s="58"/>
    </row>
    <row r="16" spans="2:15" s="1" customFormat="1" ht="18" customHeight="1">
      <c r="B16" s="57"/>
      <c r="C16" s="99" t="s">
        <v>485</v>
      </c>
      <c r="D16" s="65"/>
      <c r="E16" s="65"/>
      <c r="F16" s="65"/>
      <c r="G16" s="65"/>
      <c r="H16" s="65"/>
      <c r="I16" s="65"/>
      <c r="J16" s="65"/>
      <c r="K16" s="65"/>
      <c r="L16" s="65"/>
      <c r="M16" s="65"/>
      <c r="N16" s="65"/>
      <c r="O16" s="58"/>
    </row>
    <row r="17" spans="2:15" s="1" customFormat="1" ht="18" customHeight="1">
      <c r="B17" s="57"/>
      <c r="C17" s="65"/>
      <c r="D17" s="65"/>
      <c r="E17" s="65"/>
      <c r="F17" s="65"/>
      <c r="G17" s="65"/>
      <c r="H17" s="65"/>
      <c r="I17" s="65"/>
      <c r="J17" s="65"/>
      <c r="K17" s="65"/>
      <c r="L17" s="65"/>
      <c r="M17" s="65"/>
      <c r="N17" s="65"/>
      <c r="O17" s="58"/>
    </row>
    <row r="18" spans="2:15" ht="18" customHeight="1">
      <c r="B18" s="57"/>
      <c r="C18" s="66"/>
      <c r="D18" s="3" t="s">
        <v>507</v>
      </c>
      <c r="E18" s="952" t="s">
        <v>522</v>
      </c>
      <c r="F18" s="1022"/>
      <c r="G18" s="1023"/>
      <c r="H18" s="3" t="s">
        <v>523</v>
      </c>
      <c r="I18" s="952" t="s">
        <v>524</v>
      </c>
      <c r="J18" s="1022"/>
      <c r="K18" s="1023"/>
      <c r="L18" s="3" t="s">
        <v>538</v>
      </c>
      <c r="M18" s="478"/>
      <c r="N18" s="478"/>
      <c r="O18" s="58"/>
    </row>
    <row r="19" spans="2:15" ht="19.5" customHeight="1">
      <c r="B19" s="57"/>
      <c r="C19" s="66"/>
      <c r="D19" s="3" t="s">
        <v>400</v>
      </c>
      <c r="E19" s="17" t="s">
        <v>401</v>
      </c>
      <c r="F19" s="17" t="s">
        <v>407</v>
      </c>
      <c r="G19" s="17" t="s">
        <v>402</v>
      </c>
      <c r="H19" s="3" t="s">
        <v>403</v>
      </c>
      <c r="I19" s="18" t="s">
        <v>406</v>
      </c>
      <c r="J19" s="18" t="s">
        <v>416</v>
      </c>
      <c r="K19" s="18" t="s">
        <v>741</v>
      </c>
      <c r="L19" s="3" t="s">
        <v>754</v>
      </c>
      <c r="M19" s="478"/>
      <c r="N19" s="478"/>
      <c r="O19" s="58"/>
    </row>
    <row r="20" spans="2:15" ht="69.75" customHeight="1">
      <c r="B20" s="57"/>
      <c r="C20" s="66"/>
      <c r="D20" s="5" t="s">
        <v>408</v>
      </c>
      <c r="E20" s="5" t="s">
        <v>769</v>
      </c>
      <c r="F20" s="5" t="s">
        <v>75</v>
      </c>
      <c r="G20" s="5" t="s">
        <v>77</v>
      </c>
      <c r="H20" s="5" t="s">
        <v>409</v>
      </c>
      <c r="I20" s="5" t="s">
        <v>340</v>
      </c>
      <c r="J20" s="5" t="s">
        <v>79</v>
      </c>
      <c r="K20" s="5" t="s">
        <v>80</v>
      </c>
      <c r="L20" s="8" t="s">
        <v>341</v>
      </c>
      <c r="M20" s="479"/>
      <c r="N20" s="8" t="s">
        <v>312</v>
      </c>
      <c r="O20" s="58"/>
    </row>
    <row r="21" spans="2:15" ht="27.75" customHeight="1">
      <c r="B21" s="57"/>
      <c r="C21" s="66"/>
      <c r="D21" s="6"/>
      <c r="E21" s="6"/>
      <c r="F21" s="6"/>
      <c r="G21" s="6"/>
      <c r="H21" s="6"/>
      <c r="I21" s="8" t="s">
        <v>81</v>
      </c>
      <c r="J21" s="8" t="s">
        <v>82</v>
      </c>
      <c r="K21" s="8" t="s">
        <v>83</v>
      </c>
      <c r="L21" s="8" t="s">
        <v>711</v>
      </c>
      <c r="M21" s="479"/>
      <c r="N21" s="8"/>
      <c r="O21" s="58"/>
    </row>
    <row r="22" spans="2:15" ht="28.5" customHeight="1">
      <c r="B22" s="57"/>
      <c r="C22" s="123"/>
      <c r="D22" s="7" t="s">
        <v>789</v>
      </c>
      <c r="E22" s="9" t="s">
        <v>74</v>
      </c>
      <c r="F22" s="9" t="s">
        <v>76</v>
      </c>
      <c r="G22" s="9" t="s">
        <v>78</v>
      </c>
      <c r="H22" s="9" t="s">
        <v>789</v>
      </c>
      <c r="I22" s="9" t="s">
        <v>74</v>
      </c>
      <c r="J22" s="9" t="s">
        <v>76</v>
      </c>
      <c r="K22" s="9" t="s">
        <v>78</v>
      </c>
      <c r="L22" s="8" t="s">
        <v>72</v>
      </c>
      <c r="M22" s="480"/>
      <c r="N22" s="7" t="s">
        <v>73</v>
      </c>
      <c r="O22" s="58"/>
    </row>
    <row r="23" spans="2:15" ht="19.5" customHeight="1">
      <c r="B23" s="57"/>
      <c r="C23" s="83"/>
      <c r="D23" s="69"/>
      <c r="E23" s="69"/>
      <c r="F23" s="69"/>
      <c r="G23" s="69"/>
      <c r="H23" s="69"/>
      <c r="I23" s="84"/>
      <c r="J23" s="84"/>
      <c r="K23" s="84"/>
      <c r="L23" s="84"/>
      <c r="M23" s="63"/>
      <c r="N23" s="84"/>
      <c r="O23" s="58"/>
    </row>
    <row r="24" spans="2:15" s="13" customFormat="1" ht="19.5" customHeight="1">
      <c r="B24" s="82"/>
      <c r="C24" s="122" t="s">
        <v>525</v>
      </c>
      <c r="D24" s="12"/>
      <c r="E24" s="12"/>
      <c r="F24" s="12"/>
      <c r="G24" s="12"/>
      <c r="H24" s="12"/>
      <c r="I24" s="20"/>
      <c r="J24" s="20"/>
      <c r="K24" s="20"/>
      <c r="L24" s="20"/>
      <c r="M24" s="63"/>
      <c r="N24" s="20"/>
      <c r="O24" s="113"/>
    </row>
    <row r="25" spans="2:15" ht="19.5" customHeight="1">
      <c r="B25" s="57"/>
      <c r="C25" s="737"/>
      <c r="D25" s="718"/>
      <c r="E25" s="718"/>
      <c r="F25" s="811"/>
      <c r="G25" s="811"/>
      <c r="H25" s="718"/>
      <c r="I25" s="134">
        <f>IF($D25=0,"",E25*$H25/$D25)</f>
      </c>
      <c r="J25" s="806">
        <f>IF($D25=0,"",F25*$H25/$D25)</f>
      </c>
      <c r="K25" s="806">
        <f>IF($D25=0,"",G25*$H25/$D25)</f>
      </c>
      <c r="L25" s="134">
        <f>+IF(H25=0,"",(I25+J25*25+K25*298)/H25)</f>
      </c>
      <c r="M25" s="479"/>
      <c r="N25" s="718"/>
      <c r="O25" s="58"/>
    </row>
    <row r="26" spans="2:15" ht="19.5" customHeight="1">
      <c r="B26" s="57"/>
      <c r="C26" s="737"/>
      <c r="D26" s="718"/>
      <c r="E26" s="718"/>
      <c r="F26" s="811"/>
      <c r="G26" s="811"/>
      <c r="H26" s="718"/>
      <c r="I26" s="134">
        <f aca="true" t="shared" si="0" ref="I26:I32">IF($D26=0,"",E26*$H26/$D26)</f>
      </c>
      <c r="J26" s="806">
        <f aca="true" t="shared" si="1" ref="J26:J33">IF($D26=0,"",F26*$H26/$D26)</f>
      </c>
      <c r="K26" s="806">
        <f aca="true" t="shared" si="2" ref="K26:K33">IF($D26=0,"",G26*$H26/$D26)</f>
      </c>
      <c r="L26" s="134">
        <f aca="true" t="shared" si="3" ref="L26:L33">+IF(H26=0,"",(I26+J26*25+K26*298)/H26)</f>
      </c>
      <c r="M26" s="479"/>
      <c r="N26" s="718"/>
      <c r="O26" s="58"/>
    </row>
    <row r="27" spans="2:15" ht="19.5" customHeight="1">
      <c r="B27" s="57"/>
      <c r="C27" s="737"/>
      <c r="D27" s="718"/>
      <c r="E27" s="718"/>
      <c r="F27" s="811"/>
      <c r="G27" s="811"/>
      <c r="H27" s="718"/>
      <c r="I27" s="134">
        <f t="shared" si="0"/>
      </c>
      <c r="J27" s="806">
        <f t="shared" si="1"/>
      </c>
      <c r="K27" s="806">
        <f t="shared" si="2"/>
      </c>
      <c r="L27" s="134">
        <f t="shared" si="3"/>
      </c>
      <c r="M27" s="479"/>
      <c r="N27" s="718"/>
      <c r="O27" s="58"/>
    </row>
    <row r="28" spans="2:15" ht="19.5" customHeight="1">
      <c r="B28" s="57"/>
      <c r="C28" s="737"/>
      <c r="D28" s="718"/>
      <c r="E28" s="718"/>
      <c r="F28" s="811"/>
      <c r="G28" s="811"/>
      <c r="H28" s="718"/>
      <c r="I28" s="134">
        <f t="shared" si="0"/>
      </c>
      <c r="J28" s="806">
        <f t="shared" si="1"/>
      </c>
      <c r="K28" s="806">
        <f t="shared" si="2"/>
      </c>
      <c r="L28" s="134">
        <f t="shared" si="3"/>
      </c>
      <c r="M28" s="479"/>
      <c r="N28" s="718"/>
      <c r="O28" s="58"/>
    </row>
    <row r="29" spans="2:15" ht="19.5" customHeight="1">
      <c r="B29" s="57"/>
      <c r="C29" s="739"/>
      <c r="D29" s="718"/>
      <c r="E29" s="718"/>
      <c r="F29" s="811"/>
      <c r="G29" s="811"/>
      <c r="H29" s="718"/>
      <c r="I29" s="134">
        <f t="shared" si="0"/>
      </c>
      <c r="J29" s="806">
        <f t="shared" si="1"/>
      </c>
      <c r="K29" s="806">
        <f t="shared" si="2"/>
      </c>
      <c r="L29" s="134">
        <f t="shared" si="3"/>
      </c>
      <c r="M29" s="479"/>
      <c r="N29" s="718"/>
      <c r="O29" s="58"/>
    </row>
    <row r="30" spans="2:15" ht="19.5" customHeight="1">
      <c r="B30" s="57"/>
      <c r="C30" s="739"/>
      <c r="D30" s="718"/>
      <c r="E30" s="718"/>
      <c r="F30" s="811"/>
      <c r="G30" s="811"/>
      <c r="H30" s="718"/>
      <c r="I30" s="134">
        <f t="shared" si="0"/>
      </c>
      <c r="J30" s="806">
        <f t="shared" si="1"/>
      </c>
      <c r="K30" s="806">
        <f t="shared" si="2"/>
      </c>
      <c r="L30" s="134">
        <f t="shared" si="3"/>
      </c>
      <c r="M30" s="479"/>
      <c r="N30" s="718"/>
      <c r="O30" s="58"/>
    </row>
    <row r="31" spans="2:15" ht="19.5" customHeight="1">
      <c r="B31" s="57"/>
      <c r="C31" s="739"/>
      <c r="D31" s="718"/>
      <c r="E31" s="718"/>
      <c r="F31" s="811"/>
      <c r="G31" s="811"/>
      <c r="H31" s="718"/>
      <c r="I31" s="134">
        <f t="shared" si="0"/>
      </c>
      <c r="J31" s="806">
        <f t="shared" si="1"/>
      </c>
      <c r="K31" s="806">
        <f t="shared" si="2"/>
      </c>
      <c r="L31" s="134">
        <f t="shared" si="3"/>
      </c>
      <c r="M31" s="479"/>
      <c r="N31" s="718"/>
      <c r="O31" s="58"/>
    </row>
    <row r="32" spans="2:15" ht="19.5" customHeight="1">
      <c r="B32" s="57"/>
      <c r="C32" s="739"/>
      <c r="D32" s="718"/>
      <c r="E32" s="718"/>
      <c r="F32" s="811"/>
      <c r="G32" s="811"/>
      <c r="H32" s="718"/>
      <c r="I32" s="134">
        <f t="shared" si="0"/>
      </c>
      <c r="J32" s="806">
        <f t="shared" si="1"/>
      </c>
      <c r="K32" s="806">
        <f t="shared" si="2"/>
      </c>
      <c r="L32" s="134">
        <f t="shared" si="3"/>
      </c>
      <c r="M32" s="479"/>
      <c r="N32" s="718"/>
      <c r="O32" s="58"/>
    </row>
    <row r="33" spans="2:15" ht="19.5" customHeight="1">
      <c r="B33" s="57"/>
      <c r="C33" s="737"/>
      <c r="D33" s="718"/>
      <c r="E33" s="718"/>
      <c r="F33" s="811"/>
      <c r="G33" s="811"/>
      <c r="H33" s="718"/>
      <c r="I33" s="134">
        <f>IF($D33=0,"",E33*$H33/$D33)</f>
      </c>
      <c r="J33" s="806">
        <f t="shared" si="1"/>
      </c>
      <c r="K33" s="806">
        <f t="shared" si="2"/>
      </c>
      <c r="L33" s="134">
        <f t="shared" si="3"/>
      </c>
      <c r="M33" s="479"/>
      <c r="N33" s="718"/>
      <c r="O33" s="58"/>
    </row>
    <row r="34" spans="2:15" ht="18" customHeight="1">
      <c r="B34" s="57"/>
      <c r="C34" s="68"/>
      <c r="D34" s="63"/>
      <c r="E34" s="63"/>
      <c r="F34" s="63"/>
      <c r="G34" s="63"/>
      <c r="H34" s="63"/>
      <c r="I34" s="802" t="s">
        <v>40</v>
      </c>
      <c r="J34" s="802" t="s">
        <v>41</v>
      </c>
      <c r="K34" s="802" t="s">
        <v>42</v>
      </c>
      <c r="L34" s="63"/>
      <c r="M34" s="63"/>
      <c r="N34" s="63"/>
      <c r="O34" s="58"/>
    </row>
    <row r="35" spans="2:15" ht="18" customHeight="1">
      <c r="B35" s="57"/>
      <c r="C35" s="65"/>
      <c r="D35" s="812"/>
      <c r="E35" s="1024" t="s">
        <v>316</v>
      </c>
      <c r="F35" s="978"/>
      <c r="G35" s="978"/>
      <c r="H35" s="978"/>
      <c r="I35" s="141">
        <f>SUM(I25:I33)</f>
        <v>0</v>
      </c>
      <c r="J35" s="141">
        <f>SUM(J25:J33)</f>
        <v>0</v>
      </c>
      <c r="K35" s="141">
        <f>SUM(K25:K33)</f>
        <v>0</v>
      </c>
      <c r="L35" s="362"/>
      <c r="M35" s="362"/>
      <c r="N35" s="362"/>
      <c r="O35" s="58"/>
    </row>
    <row r="36" spans="2:15" ht="13.5" thickBot="1">
      <c r="B36" s="80"/>
      <c r="C36" s="81"/>
      <c r="D36" s="81"/>
      <c r="E36" s="81"/>
      <c r="F36" s="81"/>
      <c r="G36" s="81"/>
      <c r="H36" s="81"/>
      <c r="I36" s="81"/>
      <c r="J36" s="81"/>
      <c r="K36" s="81"/>
      <c r="L36" s="81"/>
      <c r="M36" s="81"/>
      <c r="N36" s="81"/>
      <c r="O36" s="77"/>
    </row>
    <row r="37" ht="13.5" thickTop="1"/>
  </sheetData>
  <sheetProtection password="CD08" sheet="1" objects="1" scenarios="1"/>
  <mergeCells count="8">
    <mergeCell ref="E35:H35"/>
    <mergeCell ref="C13:H13"/>
    <mergeCell ref="B1:M1"/>
    <mergeCell ref="D8:E8"/>
    <mergeCell ref="D9:E9"/>
    <mergeCell ref="D10:E10"/>
    <mergeCell ref="E18:G18"/>
    <mergeCell ref="I18:K18"/>
  </mergeCells>
  <printOptions horizontalCentered="1"/>
  <pageMargins left="0.75" right="0.75" top="1" bottom="1" header="0.5" footer="0.5"/>
  <pageSetup fitToHeight="1" fitToWidth="1" horizontalDpi="600" verticalDpi="600" orientation="landscape" scale="43" r:id="rId1"/>
  <headerFooter alignWithMargins="0">
    <oddHeader>&amp;L&amp;D&amp;R&amp;F</oddHeader>
  </headerFooter>
  <rowBreaks count="1" manualBreakCount="1">
    <brk id="1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M24"/>
  <sheetViews>
    <sheetView zoomScale="75" zoomScaleNormal="75" zoomScalePageLayoutView="0" workbookViewId="0" topLeftCell="A1">
      <selection activeCell="A1" sqref="A1"/>
    </sheetView>
  </sheetViews>
  <sheetFormatPr defaultColWidth="9.140625" defaultRowHeight="12.75"/>
  <cols>
    <col min="1" max="1" width="7.28125" style="0" customWidth="1"/>
    <col min="2" max="2" width="10.7109375" style="0" customWidth="1"/>
    <col min="3" max="3" width="37.421875" style="0" customWidth="1"/>
    <col min="4" max="4" width="36.8515625" style="0" customWidth="1"/>
    <col min="5" max="5" width="30.00390625" style="0" customWidth="1"/>
    <col min="6" max="6" width="6.8515625" style="0" customWidth="1"/>
    <col min="7" max="7" width="5.00390625" style="0" customWidth="1"/>
    <col min="8" max="8" width="13.00390625" style="0" customWidth="1"/>
    <col min="9" max="12" width="9.140625" style="0" hidden="1" customWidth="1"/>
  </cols>
  <sheetData>
    <row r="1" spans="2:13" ht="52.5" customHeight="1" thickBot="1">
      <c r="B1" s="1017" t="s">
        <v>355</v>
      </c>
      <c r="C1" s="1018"/>
      <c r="D1" s="1018"/>
      <c r="E1" s="1018"/>
      <c r="F1" s="1018"/>
      <c r="G1" s="1018"/>
      <c r="H1" s="1019"/>
      <c r="I1" s="1019"/>
      <c r="J1" s="1020"/>
      <c r="K1" s="1021"/>
      <c r="L1" s="1021"/>
      <c r="M1" s="1021"/>
    </row>
    <row r="2" spans="2:8" ht="49.5" customHeight="1" thickTop="1">
      <c r="B2" s="1027" t="s">
        <v>334</v>
      </c>
      <c r="C2" s="1028"/>
      <c r="D2" s="1028"/>
      <c r="E2" s="1028"/>
      <c r="F2" s="1028"/>
      <c r="G2" s="1028"/>
      <c r="H2" s="1029"/>
    </row>
    <row r="3" spans="2:8" ht="19.5" customHeight="1" thickBot="1">
      <c r="B3" s="588"/>
      <c r="C3" s="589"/>
      <c r="D3" s="589"/>
      <c r="E3" s="589"/>
      <c r="F3" s="589"/>
      <c r="G3" s="589"/>
      <c r="H3" s="590"/>
    </row>
    <row r="4" spans="2:8" ht="30.75" customHeight="1" thickTop="1">
      <c r="B4" s="54"/>
      <c r="C4" s="217" t="s">
        <v>330</v>
      </c>
      <c r="D4" s="55"/>
      <c r="E4" s="586"/>
      <c r="F4" s="586"/>
      <c r="G4" s="586"/>
      <c r="H4" s="587"/>
    </row>
    <row r="5" spans="2:8" ht="19.5" customHeight="1">
      <c r="B5" s="57"/>
      <c r="C5" s="65"/>
      <c r="D5" s="65"/>
      <c r="E5" s="589"/>
      <c r="F5" s="589"/>
      <c r="G5" s="589"/>
      <c r="H5" s="590"/>
    </row>
    <row r="6" spans="2:8" ht="40.5" customHeight="1">
      <c r="B6" s="88"/>
      <c r="C6" s="40" t="s">
        <v>333</v>
      </c>
      <c r="D6" s="94"/>
      <c r="E6" s="589"/>
      <c r="F6" s="589"/>
      <c r="G6" s="589"/>
      <c r="H6" s="590"/>
    </row>
    <row r="7" spans="2:8" ht="19.5" customHeight="1">
      <c r="B7" s="243" t="s">
        <v>767</v>
      </c>
      <c r="C7" s="137">
        <v>19375</v>
      </c>
      <c r="D7" s="94"/>
      <c r="E7" s="589"/>
      <c r="F7" s="589"/>
      <c r="G7" s="589"/>
      <c r="H7" s="590"/>
    </row>
    <row r="8" spans="2:8" ht="19.5" customHeight="1">
      <c r="B8" s="88"/>
      <c r="C8" s="245"/>
      <c r="D8" s="94"/>
      <c r="E8" s="589"/>
      <c r="F8" s="589"/>
      <c r="G8" s="589"/>
      <c r="H8" s="590"/>
    </row>
    <row r="9" spans="2:8" ht="19.5" customHeight="1">
      <c r="B9" s="57"/>
      <c r="C9" s="743"/>
      <c r="D9" s="65"/>
      <c r="E9" s="589"/>
      <c r="F9" s="589"/>
      <c r="G9" s="589"/>
      <c r="H9" s="590"/>
    </row>
    <row r="10" spans="2:8" ht="18.75" customHeight="1" thickBot="1">
      <c r="B10" s="80"/>
      <c r="C10" s="81"/>
      <c r="D10" s="81"/>
      <c r="E10" s="591"/>
      <c r="F10" s="591"/>
      <c r="G10" s="591"/>
      <c r="H10" s="592"/>
    </row>
    <row r="11" spans="2:8" ht="17.25" customHeight="1" thickTop="1">
      <c r="B11" s="588"/>
      <c r="C11" s="589"/>
      <c r="D11" s="589"/>
      <c r="E11" s="589"/>
      <c r="F11" s="589"/>
      <c r="G11" s="589"/>
      <c r="H11" s="590"/>
    </row>
    <row r="12" spans="2:8" ht="13.5" thickBot="1">
      <c r="B12" s="57"/>
      <c r="C12" s="65"/>
      <c r="D12" s="65"/>
      <c r="E12" s="65"/>
      <c r="F12" s="65"/>
      <c r="G12" s="65"/>
      <c r="H12" s="58"/>
    </row>
    <row r="13" spans="2:8" ht="34.5" customHeight="1" thickTop="1">
      <c r="B13" s="54"/>
      <c r="C13" s="217" t="s">
        <v>486</v>
      </c>
      <c r="D13" s="55"/>
      <c r="E13" s="55"/>
      <c r="F13" s="55"/>
      <c r="G13" s="55"/>
      <c r="H13" s="56"/>
    </row>
    <row r="14" spans="2:8" ht="12.75">
      <c r="B14" s="57"/>
      <c r="C14" s="65"/>
      <c r="D14" s="65"/>
      <c r="E14" s="65"/>
      <c r="F14" s="65"/>
      <c r="G14" s="65"/>
      <c r="H14" s="58"/>
    </row>
    <row r="15" spans="2:8" ht="105" customHeight="1">
      <c r="B15" s="57"/>
      <c r="C15" s="1030" t="s">
        <v>813</v>
      </c>
      <c r="D15" s="1031"/>
      <c r="E15" s="1032"/>
      <c r="F15" s="65"/>
      <c r="G15" s="65"/>
      <c r="H15" s="58"/>
    </row>
    <row r="16" spans="2:8" ht="12.75">
      <c r="B16" s="57"/>
      <c r="C16" s="65"/>
      <c r="D16" s="65"/>
      <c r="E16" s="65"/>
      <c r="F16" s="65"/>
      <c r="G16" s="65"/>
      <c r="H16" s="58"/>
    </row>
    <row r="17" spans="2:8" ht="107.25" customHeight="1">
      <c r="B17" s="88"/>
      <c r="C17" s="40" t="s">
        <v>331</v>
      </c>
      <c r="D17" s="40" t="s">
        <v>487</v>
      </c>
      <c r="E17" s="40" t="s">
        <v>332</v>
      </c>
      <c r="F17" s="94"/>
      <c r="G17" s="65"/>
      <c r="H17" s="58"/>
    </row>
    <row r="18" spans="2:8" ht="18" customHeight="1">
      <c r="B18" s="243" t="s">
        <v>767</v>
      </c>
      <c r="C18" s="244">
        <v>47000</v>
      </c>
      <c r="D18" s="244">
        <v>0.9</v>
      </c>
      <c r="E18" s="244">
        <f>D18*C18</f>
        <v>42300</v>
      </c>
      <c r="F18" s="94"/>
      <c r="G18" s="65"/>
      <c r="H18" s="58"/>
    </row>
    <row r="19" spans="2:8" ht="17.25" customHeight="1">
      <c r="B19" s="88"/>
      <c r="C19" s="245"/>
      <c r="D19" s="245"/>
      <c r="E19" s="245"/>
      <c r="F19" s="94"/>
      <c r="G19" s="65"/>
      <c r="H19" s="58"/>
    </row>
    <row r="20" spans="2:8" ht="19.5" customHeight="1">
      <c r="B20" s="57"/>
      <c r="C20" s="743"/>
      <c r="D20" s="743"/>
      <c r="E20" s="233">
        <f>D20*C20</f>
        <v>0</v>
      </c>
      <c r="F20" s="65"/>
      <c r="G20" s="65"/>
      <c r="H20" s="58"/>
    </row>
    <row r="21" spans="2:8" ht="13.5" thickBot="1">
      <c r="B21" s="80"/>
      <c r="C21" s="492"/>
      <c r="D21" s="492"/>
      <c r="E21" s="492"/>
      <c r="F21" s="81"/>
      <c r="G21" s="81"/>
      <c r="H21" s="77"/>
    </row>
    <row r="22" spans="1:8" ht="13.5" thickTop="1">
      <c r="A22" s="4"/>
      <c r="B22" s="1"/>
      <c r="C22" s="1"/>
      <c r="D22" s="1"/>
      <c r="E22" s="1"/>
      <c r="F22" s="1"/>
      <c r="G22" s="4"/>
      <c r="H22" s="4"/>
    </row>
    <row r="23" spans="2:5" ht="21.75" customHeight="1">
      <c r="B23" s="31"/>
      <c r="C23" s="31"/>
      <c r="D23" s="31"/>
      <c r="E23" s="31"/>
    </row>
    <row r="24" spans="2:4" ht="15" customHeight="1">
      <c r="B24" s="31"/>
      <c r="C24" s="31"/>
      <c r="D24" s="31"/>
    </row>
    <row r="25" s="231" customFormat="1" ht="63.75" customHeight="1"/>
    <row r="26" s="231" customFormat="1" ht="20.25" customHeight="1"/>
    <row r="27" s="231" customFormat="1" ht="13.5" customHeight="1"/>
    <row r="28" ht="19.5" customHeight="1"/>
    <row r="29" ht="25.5" customHeight="1"/>
  </sheetData>
  <sheetProtection password="CD08" sheet="1" objects="1" scenarios="1"/>
  <mergeCells count="3">
    <mergeCell ref="B2:H2"/>
    <mergeCell ref="B1:M1"/>
    <mergeCell ref="C15:E15"/>
  </mergeCells>
  <printOptions horizontalCentered="1"/>
  <pageMargins left="0.75" right="0.75" top="1" bottom="1" header="0.5" footer="0.5"/>
  <pageSetup fitToHeight="1" fitToWidth="1" horizontalDpi="600" verticalDpi="600" orientation="portrait" scale="65" r:id="rId1"/>
  <headerFooter alignWithMargins="0">
    <oddHeader>&amp;L&amp;D&amp;R&amp;F</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46"/>
  <sheetViews>
    <sheetView zoomScale="75" zoomScaleNormal="75" zoomScalePageLayoutView="0" workbookViewId="0" topLeftCell="A1">
      <selection activeCell="B1" sqref="B1"/>
    </sheetView>
  </sheetViews>
  <sheetFormatPr defaultColWidth="9.140625" defaultRowHeight="12.75"/>
  <cols>
    <col min="1" max="1" width="7.28125" style="818" customWidth="1"/>
    <col min="2" max="2" width="4.57421875" style="818" customWidth="1"/>
    <col min="3" max="3" width="9.421875" style="819" customWidth="1"/>
    <col min="4" max="4" width="51.140625" style="819" customWidth="1"/>
    <col min="5" max="5" width="4.140625" style="819" customWidth="1"/>
    <col min="6" max="6" width="19.28125" style="821" customWidth="1"/>
    <col min="7" max="7" width="18.57421875" style="822" customWidth="1"/>
    <col min="8" max="8" width="19.00390625" style="818" customWidth="1"/>
    <col min="9" max="9" width="20.57421875" style="818" customWidth="1"/>
    <col min="10" max="16384" width="9.140625" style="818" customWidth="1"/>
  </cols>
  <sheetData>
    <row r="1" spans="3:14" ht="60" customHeight="1">
      <c r="C1" s="1037" t="s">
        <v>355</v>
      </c>
      <c r="D1" s="1037"/>
      <c r="E1" s="1038"/>
      <c r="F1" s="1038"/>
      <c r="G1" s="1038"/>
      <c r="H1" s="1038"/>
      <c r="I1" s="1038"/>
      <c r="J1" s="1039"/>
      <c r="K1" s="1040"/>
      <c r="L1" s="1041"/>
      <c r="M1" s="1041"/>
      <c r="N1" s="1041"/>
    </row>
    <row r="2" spans="3:4" ht="23.25">
      <c r="C2" s="820" t="s">
        <v>803</v>
      </c>
      <c r="D2" s="820"/>
    </row>
    <row r="3" ht="13.5" thickBot="1"/>
    <row r="4" spans="2:10" ht="40.5" customHeight="1" thickTop="1">
      <c r="B4" s="823"/>
      <c r="C4" s="824" t="s">
        <v>803</v>
      </c>
      <c r="D4" s="825"/>
      <c r="E4" s="826"/>
      <c r="F4" s="827"/>
      <c r="G4" s="827"/>
      <c r="H4" s="827"/>
      <c r="I4" s="828"/>
      <c r="J4" s="829"/>
    </row>
    <row r="5" spans="2:10" ht="15">
      <c r="B5" s="830"/>
      <c r="C5" s="1042" t="s">
        <v>801</v>
      </c>
      <c r="D5" s="1043"/>
      <c r="E5" s="831"/>
      <c r="F5" s="1044">
        <f>IF('Operations in Inventory'!F8="","",'Operations in Inventory'!F8)</f>
      </c>
      <c r="G5" s="1045"/>
      <c r="H5" s="1045"/>
      <c r="I5" s="1046"/>
      <c r="J5" s="832"/>
    </row>
    <row r="6" spans="2:10" ht="15">
      <c r="B6" s="830"/>
      <c r="C6" s="833"/>
      <c r="D6" s="833"/>
      <c r="E6" s="833"/>
      <c r="F6" s="834"/>
      <c r="G6" s="834"/>
      <c r="H6" s="834"/>
      <c r="I6" s="119"/>
      <c r="J6" s="832"/>
    </row>
    <row r="7" spans="2:10" ht="72.75" customHeight="1">
      <c r="B7" s="830"/>
      <c r="C7" s="1033" t="s">
        <v>802</v>
      </c>
      <c r="D7" s="1036"/>
      <c r="E7" s="835"/>
      <c r="F7" s="1047">
        <f>IF('Operations in Inventory'!F10="","",'Operations in Inventory'!F10)</f>
      </c>
      <c r="G7" s="1045"/>
      <c r="H7" s="1045"/>
      <c r="I7" s="1046"/>
      <c r="J7" s="832"/>
    </row>
    <row r="8" spans="2:10" ht="15.75" customHeight="1" thickBot="1">
      <c r="B8" s="830"/>
      <c r="C8" s="836"/>
      <c r="D8" s="836"/>
      <c r="E8" s="836"/>
      <c r="F8" s="119"/>
      <c r="G8" s="119"/>
      <c r="H8" s="119"/>
      <c r="I8" s="837"/>
      <c r="J8" s="832"/>
    </row>
    <row r="9" spans="2:10" ht="77.25" customHeight="1" thickTop="1">
      <c r="B9" s="823"/>
      <c r="C9" s="825" t="s">
        <v>318</v>
      </c>
      <c r="D9" s="825"/>
      <c r="E9" s="838"/>
      <c r="F9" s="839" t="s">
        <v>93</v>
      </c>
      <c r="G9" s="840" t="s">
        <v>94</v>
      </c>
      <c r="H9" s="840" t="s">
        <v>95</v>
      </c>
      <c r="I9" s="840" t="s">
        <v>96</v>
      </c>
      <c r="J9" s="829"/>
    </row>
    <row r="10" spans="2:10" ht="51" customHeight="1">
      <c r="B10" s="830"/>
      <c r="C10" s="1033" t="s">
        <v>84</v>
      </c>
      <c r="D10" s="1036"/>
      <c r="E10" s="835"/>
      <c r="F10" s="858">
        <f>'Direct - Stationary Combustion'!I39</f>
        <v>0</v>
      </c>
      <c r="G10" s="841">
        <f>'Direct - Stationary Combustion'!J39</f>
        <v>0</v>
      </c>
      <c r="H10" s="841">
        <f>'Direct - Stationary Combustion'!K39</f>
        <v>0</v>
      </c>
      <c r="I10" s="859">
        <f>F10+G10*28+H10*265</f>
        <v>0</v>
      </c>
      <c r="J10" s="832"/>
    </row>
    <row r="11" spans="2:10" ht="18" customHeight="1">
      <c r="B11" s="830"/>
      <c r="C11" s="836"/>
      <c r="D11" s="836"/>
      <c r="E11" s="836"/>
      <c r="F11" s="842"/>
      <c r="G11" s="842"/>
      <c r="H11" s="842"/>
      <c r="I11" s="837"/>
      <c r="J11" s="832"/>
    </row>
    <row r="12" spans="2:10" ht="64.5" customHeight="1">
      <c r="B12" s="830"/>
      <c r="C12" s="836"/>
      <c r="D12" s="843" t="s">
        <v>85</v>
      </c>
      <c r="E12" s="844"/>
      <c r="F12" s="858">
        <f>'Indirect - Energy Exports'!I35</f>
        <v>0</v>
      </c>
      <c r="G12" s="841">
        <f>'Indirect - Energy Exports'!J35</f>
        <v>0</v>
      </c>
      <c r="H12" s="841">
        <f>'Indirect - Energy Exports'!K35</f>
        <v>0</v>
      </c>
      <c r="I12" s="859">
        <f>F12+G12*28+H12*265</f>
        <v>0</v>
      </c>
      <c r="J12" s="832"/>
    </row>
    <row r="13" spans="2:10" ht="15">
      <c r="B13" s="830"/>
      <c r="C13" s="833"/>
      <c r="D13" s="833"/>
      <c r="E13" s="833"/>
      <c r="F13" s="834"/>
      <c r="G13" s="834"/>
      <c r="H13" s="834"/>
      <c r="I13" s="119"/>
      <c r="J13" s="832"/>
    </row>
    <row r="14" spans="2:10" ht="51" customHeight="1">
      <c r="B14" s="830"/>
      <c r="C14" s="1033" t="s">
        <v>86</v>
      </c>
      <c r="D14" s="1036"/>
      <c r="E14" s="835"/>
      <c r="F14" s="858">
        <f>'Mobile &amp; Transportation'!I114</f>
        <v>0</v>
      </c>
      <c r="G14" s="841">
        <f>'Mobile &amp; Transportation'!J114</f>
        <v>0</v>
      </c>
      <c r="H14" s="841">
        <f>'Mobile &amp; Transportation'!K114</f>
        <v>0</v>
      </c>
      <c r="I14" s="859">
        <f>F14+G14*28+H14*265</f>
        <v>0</v>
      </c>
      <c r="J14" s="832"/>
    </row>
    <row r="15" spans="2:10" ht="15">
      <c r="B15" s="830"/>
      <c r="C15" s="836"/>
      <c r="D15" s="836"/>
      <c r="E15" s="836"/>
      <c r="F15" s="837"/>
      <c r="G15" s="837"/>
      <c r="H15" s="837"/>
      <c r="I15" s="837"/>
      <c r="J15" s="832"/>
    </row>
    <row r="16" spans="2:10" ht="53.25" customHeight="1">
      <c r="B16" s="830"/>
      <c r="C16" s="1033" t="s">
        <v>87</v>
      </c>
      <c r="D16" s="1034"/>
      <c r="E16" s="844"/>
      <c r="F16" s="842" t="s">
        <v>253</v>
      </c>
      <c r="G16" s="841">
        <f>'Waste Mngmt.'!Q47+'Waste Mngmt.'!J158</f>
        <v>0</v>
      </c>
      <c r="H16" s="842" t="s">
        <v>253</v>
      </c>
      <c r="I16" s="858">
        <f>G16*28</f>
        <v>0</v>
      </c>
      <c r="J16" s="832"/>
    </row>
    <row r="17" spans="2:10" ht="15">
      <c r="B17" s="830"/>
      <c r="C17" s="836"/>
      <c r="D17" s="836"/>
      <c r="E17" s="836"/>
      <c r="F17" s="837"/>
      <c r="G17" s="837"/>
      <c r="H17" s="837"/>
      <c r="I17" s="837"/>
      <c r="J17" s="832"/>
    </row>
    <row r="18" spans="2:10" ht="62.25" customHeight="1">
      <c r="B18" s="830"/>
      <c r="C18" s="1033" t="s">
        <v>444</v>
      </c>
      <c r="D18" s="1034"/>
      <c r="E18" s="844"/>
      <c r="F18" s="858">
        <f>'Direct - Make-up Chemicals'!F11+'Direct - Make-up Chemicals'!F21</f>
        <v>0</v>
      </c>
      <c r="G18" s="842" t="s">
        <v>253</v>
      </c>
      <c r="H18" s="842" t="s">
        <v>253</v>
      </c>
      <c r="I18" s="858">
        <f>F18</f>
        <v>0</v>
      </c>
      <c r="J18" s="832"/>
    </row>
    <row r="19" spans="2:10" ht="18" customHeight="1">
      <c r="B19" s="830"/>
      <c r="C19" s="836"/>
      <c r="D19" s="836"/>
      <c r="E19" s="836"/>
      <c r="F19" s="119"/>
      <c r="G19" s="119"/>
      <c r="H19" s="119"/>
      <c r="I19" s="837"/>
      <c r="J19" s="832"/>
    </row>
    <row r="20" spans="2:10" ht="43.5" customHeight="1">
      <c r="B20" s="830"/>
      <c r="C20" s="1033" t="s">
        <v>88</v>
      </c>
      <c r="D20" s="1034"/>
      <c r="E20" s="844"/>
      <c r="F20" s="858">
        <f>F10+F14+F18</f>
        <v>0</v>
      </c>
      <c r="G20" s="841">
        <f>G10+G14+G16</f>
        <v>0</v>
      </c>
      <c r="H20" s="841">
        <f>H10+H14</f>
        <v>0</v>
      </c>
      <c r="I20" s="859">
        <f>F20+G20*28+H20*265</f>
        <v>0</v>
      </c>
      <c r="J20" s="832"/>
    </row>
    <row r="21" spans="2:10" ht="20.25" customHeight="1" thickBot="1">
      <c r="B21" s="845"/>
      <c r="C21" s="846"/>
      <c r="D21" s="846"/>
      <c r="E21" s="846"/>
      <c r="F21" s="847"/>
      <c r="G21" s="847"/>
      <c r="H21" s="847"/>
      <c r="I21" s="848"/>
      <c r="J21" s="849"/>
    </row>
    <row r="22" spans="2:10" ht="37.5" customHeight="1" thickTop="1">
      <c r="B22" s="830"/>
      <c r="C22" s="1035" t="s">
        <v>319</v>
      </c>
      <c r="D22" s="1035"/>
      <c r="E22" s="850"/>
      <c r="F22" s="839" t="s">
        <v>93</v>
      </c>
      <c r="G22" s="840" t="s">
        <v>94</v>
      </c>
      <c r="H22" s="840" t="s">
        <v>95</v>
      </c>
      <c r="I22" s="840" t="s">
        <v>96</v>
      </c>
      <c r="J22" s="832"/>
    </row>
    <row r="23" spans="2:10" ht="54.75" customHeight="1">
      <c r="B23" s="830"/>
      <c r="C23" s="1033" t="s">
        <v>89</v>
      </c>
      <c r="D23" s="1034"/>
      <c r="E23" s="844"/>
      <c r="F23" s="858">
        <f>'Indirect - Energy Imports'!H31</f>
        <v>0</v>
      </c>
      <c r="G23" s="841">
        <f>'Indirect - Energy Imports'!I31</f>
        <v>0</v>
      </c>
      <c r="H23" s="841">
        <f>'Indirect - Energy Imports'!J31</f>
        <v>0</v>
      </c>
      <c r="I23" s="859">
        <f>F23+G23*28+H23*265</f>
        <v>0</v>
      </c>
      <c r="J23" s="832"/>
    </row>
    <row r="24" spans="2:10" ht="15">
      <c r="B24" s="830"/>
      <c r="C24" s="836"/>
      <c r="D24" s="836"/>
      <c r="E24" s="836"/>
      <c r="F24" s="837"/>
      <c r="G24" s="837"/>
      <c r="H24" s="837"/>
      <c r="I24" s="837"/>
      <c r="J24" s="832"/>
    </row>
    <row r="25" spans="2:10" ht="51" customHeight="1">
      <c r="B25" s="830"/>
      <c r="C25" s="1033" t="s">
        <v>90</v>
      </c>
      <c r="D25" s="1036"/>
      <c r="E25" s="835"/>
      <c r="F25" s="858">
        <f>'Mobile &amp; Transportation'!L114</f>
        <v>0</v>
      </c>
      <c r="G25" s="841">
        <f>'Mobile &amp; Transportation'!M114</f>
        <v>0</v>
      </c>
      <c r="H25" s="841">
        <f>'Mobile &amp; Transportation'!N114</f>
        <v>0</v>
      </c>
      <c r="I25" s="859">
        <f>F25+G25*28+H25*265</f>
        <v>0</v>
      </c>
      <c r="J25" s="832"/>
    </row>
    <row r="26" spans="2:10" ht="15">
      <c r="B26" s="830"/>
      <c r="C26" s="836"/>
      <c r="D26" s="836"/>
      <c r="E26" s="836"/>
      <c r="F26" s="837"/>
      <c r="G26" s="837"/>
      <c r="H26" s="837"/>
      <c r="I26" s="837"/>
      <c r="J26" s="832"/>
    </row>
    <row r="27" spans="2:10" ht="53.25" customHeight="1">
      <c r="B27" s="830"/>
      <c r="C27" s="1033" t="s">
        <v>91</v>
      </c>
      <c r="D27" s="1034"/>
      <c r="E27" s="844"/>
      <c r="F27" s="842" t="s">
        <v>253</v>
      </c>
      <c r="G27" s="841">
        <f>'Waste Mngmt.'!R47+'Waste Mngmt.'!K158</f>
        <v>0</v>
      </c>
      <c r="H27" s="842" t="s">
        <v>253</v>
      </c>
      <c r="I27" s="858">
        <f>G27*28</f>
        <v>0</v>
      </c>
      <c r="J27" s="832"/>
    </row>
    <row r="28" spans="2:10" ht="18" customHeight="1">
      <c r="B28" s="830"/>
      <c r="C28" s="836"/>
      <c r="D28" s="836"/>
      <c r="E28" s="836"/>
      <c r="F28" s="119"/>
      <c r="G28" s="119"/>
      <c r="H28" s="119"/>
      <c r="I28" s="837"/>
      <c r="J28" s="832"/>
    </row>
    <row r="29" spans="2:10" ht="43.5" customHeight="1">
      <c r="B29" s="830"/>
      <c r="C29" s="1033" t="s">
        <v>92</v>
      </c>
      <c r="D29" s="1034"/>
      <c r="E29" s="844"/>
      <c r="F29" s="858">
        <f>F23+F25</f>
        <v>0</v>
      </c>
      <c r="G29" s="841">
        <f>G23+G25+G27</f>
        <v>0</v>
      </c>
      <c r="H29" s="841">
        <f>H23+H25</f>
        <v>0</v>
      </c>
      <c r="I29" s="859">
        <f>F29+G29*28+H29*265</f>
        <v>0</v>
      </c>
      <c r="J29" s="832"/>
    </row>
    <row r="30" spans="2:10" ht="16.5" customHeight="1" thickBot="1">
      <c r="B30" s="830"/>
      <c r="C30" s="836"/>
      <c r="D30" s="836"/>
      <c r="E30" s="836"/>
      <c r="F30" s="842"/>
      <c r="G30" s="842"/>
      <c r="H30" s="842"/>
      <c r="I30" s="837"/>
      <c r="J30" s="832"/>
    </row>
    <row r="31" spans="2:10" ht="43.5" customHeight="1" thickTop="1">
      <c r="B31" s="823"/>
      <c r="C31" s="1035" t="s">
        <v>320</v>
      </c>
      <c r="D31" s="1035"/>
      <c r="E31" s="825"/>
      <c r="F31" s="839" t="s">
        <v>93</v>
      </c>
      <c r="G31" s="840"/>
      <c r="H31" s="840"/>
      <c r="I31" s="840" t="s">
        <v>96</v>
      </c>
      <c r="J31" s="829"/>
    </row>
    <row r="32" spans="2:10" ht="42" customHeight="1">
      <c r="B32" s="830"/>
      <c r="C32" s="1033" t="s">
        <v>328</v>
      </c>
      <c r="D32" s="1034"/>
      <c r="E32" s="844"/>
      <c r="F32" s="858">
        <f>'CO2 Imports and Exports'!C9</f>
        <v>0</v>
      </c>
      <c r="G32" s="119" t="s">
        <v>253</v>
      </c>
      <c r="H32" s="119" t="s">
        <v>253</v>
      </c>
      <c r="I32" s="858">
        <f>F32</f>
        <v>0</v>
      </c>
      <c r="J32" s="832"/>
    </row>
    <row r="33" spans="2:10" ht="15.75" customHeight="1">
      <c r="B33" s="830"/>
      <c r="C33" s="851"/>
      <c r="D33" s="851"/>
      <c r="E33" s="852"/>
      <c r="F33" s="852"/>
      <c r="G33" s="852"/>
      <c r="H33" s="852"/>
      <c r="I33" s="853"/>
      <c r="J33" s="832"/>
    </row>
    <row r="34" spans="2:10" ht="41.25" customHeight="1">
      <c r="B34" s="830"/>
      <c r="C34" s="1033" t="s">
        <v>329</v>
      </c>
      <c r="D34" s="1034"/>
      <c r="E34" s="844"/>
      <c r="F34" s="858">
        <f>'CO2 Imports and Exports'!E20</f>
        <v>0</v>
      </c>
      <c r="G34" s="119" t="s">
        <v>253</v>
      </c>
      <c r="H34" s="119" t="s">
        <v>253</v>
      </c>
      <c r="I34" s="858">
        <f>F34</f>
        <v>0</v>
      </c>
      <c r="J34" s="832"/>
    </row>
    <row r="35" spans="2:10" ht="15.75" customHeight="1" thickBot="1">
      <c r="B35" s="845"/>
      <c r="C35" s="854"/>
      <c r="D35" s="854"/>
      <c r="E35" s="854"/>
      <c r="F35" s="855"/>
      <c r="G35" s="855"/>
      <c r="H35" s="855"/>
      <c r="I35" s="848"/>
      <c r="J35" s="849"/>
    </row>
    <row r="36" spans="3:6" ht="15.75" thickTop="1">
      <c r="C36" s="856"/>
      <c r="D36" s="856"/>
      <c r="E36" s="856"/>
      <c r="F36" s="857"/>
    </row>
    <row r="37" spans="3:6" ht="15.75" thickBot="1">
      <c r="C37" s="856"/>
      <c r="D37" s="856"/>
      <c r="E37" s="856"/>
      <c r="F37" s="857"/>
    </row>
    <row r="38" spans="2:10" ht="48.75" customHeight="1" thickTop="1">
      <c r="B38" s="866"/>
      <c r="C38" s="1048" t="s">
        <v>719</v>
      </c>
      <c r="D38" s="1048"/>
      <c r="E38" s="867"/>
      <c r="F38" s="868" t="s">
        <v>93</v>
      </c>
      <c r="G38" s="869"/>
      <c r="H38" s="869"/>
      <c r="I38" s="869" t="s">
        <v>96</v>
      </c>
      <c r="J38" s="870"/>
    </row>
    <row r="39" spans="2:10" ht="65.25" customHeight="1">
      <c r="B39" s="871"/>
      <c r="C39" s="1033" t="s">
        <v>720</v>
      </c>
      <c r="D39" s="1034"/>
      <c r="E39" s="844"/>
      <c r="F39" s="858">
        <f>'Biomass Combustion CO2'!J35-'Biomass Combustion CO2'!J36+'Biomass Combustion CO2'!J65-'Biomass Combustion CO2'!J66</f>
        <v>0</v>
      </c>
      <c r="G39" s="872" t="s">
        <v>253</v>
      </c>
      <c r="H39" s="872" t="s">
        <v>253</v>
      </c>
      <c r="I39" s="873" t="s">
        <v>253</v>
      </c>
      <c r="J39" s="874"/>
    </row>
    <row r="40" spans="2:10" ht="15.75" customHeight="1" thickBot="1">
      <c r="B40" s="875"/>
      <c r="C40" s="876"/>
      <c r="D40" s="876"/>
      <c r="E40" s="876"/>
      <c r="F40" s="877"/>
      <c r="G40" s="877"/>
      <c r="H40" s="877"/>
      <c r="I40" s="878"/>
      <c r="J40" s="879"/>
    </row>
    <row r="41" spans="3:6" ht="15.75" thickTop="1">
      <c r="C41" s="856"/>
      <c r="D41" s="856"/>
      <c r="E41" s="856"/>
      <c r="F41" s="857"/>
    </row>
    <row r="42" spans="3:6" ht="15">
      <c r="C42" s="856"/>
      <c r="D42" s="856"/>
      <c r="E42" s="856"/>
      <c r="F42" s="857"/>
    </row>
    <row r="43" spans="3:6" ht="15">
      <c r="C43" s="856"/>
      <c r="D43" s="856"/>
      <c r="E43" s="856"/>
      <c r="F43" s="857"/>
    </row>
    <row r="44" spans="3:6" ht="15">
      <c r="C44" s="856"/>
      <c r="D44" s="856"/>
      <c r="E44" s="856"/>
      <c r="F44" s="857"/>
    </row>
    <row r="45" spans="3:6" ht="15">
      <c r="C45" s="856"/>
      <c r="D45" s="856"/>
      <c r="E45" s="856"/>
      <c r="F45" s="857"/>
    </row>
    <row r="46" spans="3:6" ht="15">
      <c r="C46" s="856"/>
      <c r="D46" s="856"/>
      <c r="E46" s="856"/>
      <c r="F46" s="857"/>
    </row>
  </sheetData>
  <sheetProtection password="CD08" sheet="1" objects="1" scenarios="1"/>
  <mergeCells count="20">
    <mergeCell ref="C14:D14"/>
    <mergeCell ref="C16:D16"/>
    <mergeCell ref="C38:D38"/>
    <mergeCell ref="C39:D39"/>
    <mergeCell ref="C32:D32"/>
    <mergeCell ref="C34:D34"/>
    <mergeCell ref="C29:D29"/>
    <mergeCell ref="C31:D31"/>
    <mergeCell ref="C18:D18"/>
    <mergeCell ref="C20:D20"/>
    <mergeCell ref="C23:D23"/>
    <mergeCell ref="C22:D22"/>
    <mergeCell ref="C25:D25"/>
    <mergeCell ref="C27:D27"/>
    <mergeCell ref="C1:N1"/>
    <mergeCell ref="C5:D5"/>
    <mergeCell ref="C7:D7"/>
    <mergeCell ref="C10:D10"/>
    <mergeCell ref="F5:I5"/>
    <mergeCell ref="F7:I7"/>
  </mergeCells>
  <printOptions horizontalCentered="1"/>
  <pageMargins left="0.75" right="0.75" top="1" bottom="1" header="0.5" footer="0.5"/>
  <pageSetup fitToHeight="1" fitToWidth="1" horizontalDpi="600" verticalDpi="600" orientation="portrait" scale="51" r:id="rId1"/>
  <headerFooter alignWithMargins="0">
    <oddHeader>&amp;L
&amp;F&amp;R&amp;D</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I43"/>
  <sheetViews>
    <sheetView zoomScale="75" zoomScaleNormal="75" zoomScalePageLayoutView="0" workbookViewId="0" topLeftCell="A1">
      <selection activeCell="B1" sqref="B1"/>
    </sheetView>
  </sheetViews>
  <sheetFormatPr defaultColWidth="9.7109375" defaultRowHeight="12.75"/>
  <cols>
    <col min="1" max="1" width="9.140625" style="4" customWidth="1"/>
    <col min="2" max="2" width="3.8515625" style="4" customWidth="1"/>
    <col min="3" max="3" width="23.00390625" style="4" customWidth="1"/>
    <col min="4" max="4" width="20.7109375" style="4" customWidth="1"/>
    <col min="5" max="5" width="21.7109375" style="4" customWidth="1"/>
    <col min="6" max="6" width="22.00390625" style="4" customWidth="1"/>
    <col min="7" max="7" width="4.8515625" style="4" customWidth="1"/>
    <col min="8" max="8" width="14.7109375" style="4" customWidth="1"/>
    <col min="9" max="9" width="15.7109375" style="4" customWidth="1"/>
    <col min="10" max="16384" width="9.7109375" style="4" customWidth="1"/>
  </cols>
  <sheetData>
    <row r="1" ht="15">
      <c r="A1" s="496" t="s">
        <v>583</v>
      </c>
    </row>
    <row r="2" spans="1:6" ht="15">
      <c r="A2" s="497" t="s">
        <v>586</v>
      </c>
      <c r="B2" s="183"/>
      <c r="C2" s="183"/>
      <c r="D2" s="183"/>
      <c r="E2" s="183"/>
      <c r="F2" s="183"/>
    </row>
    <row r="3" s="15" customFormat="1" ht="15.75"/>
    <row r="4" s="15" customFormat="1" ht="18" customHeight="1">
      <c r="C4" s="38" t="s">
        <v>549</v>
      </c>
    </row>
    <row r="5" s="15" customFormat="1" ht="18" customHeight="1">
      <c r="C5" s="38" t="s">
        <v>554</v>
      </c>
    </row>
    <row r="6" s="15" customFormat="1" ht="18" customHeight="1" thickBot="1"/>
    <row r="7" spans="2:7" s="15" customFormat="1" ht="25.5" customHeight="1" thickTop="1">
      <c r="B7" s="504" t="s">
        <v>307</v>
      </c>
      <c r="C7" s="495"/>
      <c r="D7" s="499"/>
      <c r="E7" s="495"/>
      <c r="F7" s="652"/>
      <c r="G7" s="508"/>
    </row>
    <row r="8" spans="2:7" s="15" customFormat="1" ht="15.75">
      <c r="B8" s="651"/>
      <c r="C8" s="1"/>
      <c r="D8" s="944" t="s">
        <v>728</v>
      </c>
      <c r="E8" s="1005"/>
      <c r="F8" s="160"/>
      <c r="G8" s="355"/>
    </row>
    <row r="9" spans="2:7" s="15" customFormat="1" ht="15.75">
      <c r="B9" s="503"/>
      <c r="C9" s="1"/>
      <c r="D9" s="944" t="s">
        <v>558</v>
      </c>
      <c r="E9" s="944"/>
      <c r="F9" s="481"/>
      <c r="G9" s="355"/>
    </row>
    <row r="10" spans="2:7" s="15" customFormat="1" ht="15.75">
      <c r="B10" s="503"/>
      <c r="C10" s="1"/>
      <c r="D10" s="944" t="s">
        <v>399</v>
      </c>
      <c r="E10" s="1005"/>
      <c r="F10" s="163"/>
      <c r="G10" s="355"/>
    </row>
    <row r="11" spans="2:7" s="15" customFormat="1" ht="19.5" customHeight="1" thickBot="1">
      <c r="B11" s="493"/>
      <c r="C11" s="469"/>
      <c r="D11" s="469"/>
      <c r="E11" s="469"/>
      <c r="F11" s="469"/>
      <c r="G11" s="494"/>
    </row>
    <row r="12" s="1" customFormat="1" ht="19.5" customHeight="1" thickBot="1" thickTop="1">
      <c r="B12" s="2"/>
    </row>
    <row r="13" spans="2:7" s="1" customFormat="1" ht="19.5" customHeight="1" thickTop="1">
      <c r="B13" s="54"/>
      <c r="C13" s="55"/>
      <c r="D13" s="55"/>
      <c r="E13" s="55"/>
      <c r="F13" s="55"/>
      <c r="G13" s="56"/>
    </row>
    <row r="14" spans="2:7" ht="19.5" customHeight="1">
      <c r="B14" s="57"/>
      <c r="C14" s="173"/>
      <c r="D14" s="22" t="s">
        <v>400</v>
      </c>
      <c r="E14" s="22" t="s">
        <v>401</v>
      </c>
      <c r="F14" s="22" t="s">
        <v>407</v>
      </c>
      <c r="G14" s="58"/>
    </row>
    <row r="15" spans="2:7" ht="19.5" customHeight="1">
      <c r="B15" s="57"/>
      <c r="C15" s="174"/>
      <c r="D15" s="22" t="s">
        <v>412</v>
      </c>
      <c r="E15" s="22" t="s">
        <v>413</v>
      </c>
      <c r="F15" s="22" t="s">
        <v>414</v>
      </c>
      <c r="G15" s="58"/>
    </row>
    <row r="16" spans="2:7" ht="19.5" customHeight="1">
      <c r="B16" s="57"/>
      <c r="C16" s="174"/>
      <c r="D16" s="24"/>
      <c r="F16" s="126" t="s">
        <v>799</v>
      </c>
      <c r="G16" s="58"/>
    </row>
    <row r="17" spans="2:7" ht="19.5" customHeight="1">
      <c r="B17" s="57"/>
      <c r="C17" s="174"/>
      <c r="D17" s="126" t="s">
        <v>582</v>
      </c>
      <c r="E17" s="126" t="s">
        <v>569</v>
      </c>
      <c r="F17" s="126" t="s">
        <v>580</v>
      </c>
      <c r="G17" s="58"/>
    </row>
    <row r="18" spans="2:7" ht="33.75" customHeight="1">
      <c r="B18" s="57"/>
      <c r="C18" s="174"/>
      <c r="D18" s="126"/>
      <c r="E18" s="180" t="s">
        <v>579</v>
      </c>
      <c r="F18" s="126"/>
      <c r="G18" s="58"/>
    </row>
    <row r="19" spans="2:7" ht="19.5" customHeight="1">
      <c r="B19" s="57"/>
      <c r="C19" s="172"/>
      <c r="D19" s="116"/>
      <c r="E19" s="117"/>
      <c r="F19" s="118"/>
      <c r="G19" s="58"/>
    </row>
    <row r="20" spans="2:7" ht="19.5" customHeight="1">
      <c r="B20" s="57"/>
      <c r="C20" s="175" t="s">
        <v>559</v>
      </c>
      <c r="D20" s="23"/>
      <c r="E20" s="23"/>
      <c r="F20" s="25"/>
      <c r="G20" s="58"/>
    </row>
    <row r="21" spans="2:7" ht="19.5" customHeight="1">
      <c r="B21" s="57"/>
      <c r="C21" s="770"/>
      <c r="D21" s="744"/>
      <c r="E21" s="744"/>
      <c r="F21" s="133">
        <f>IF(D21=0,0,3.664*1000*E21/D21)</f>
        <v>0</v>
      </c>
      <c r="G21" s="58"/>
    </row>
    <row r="22" spans="2:7" ht="19.5" customHeight="1">
      <c r="B22" s="57"/>
      <c r="C22" s="770"/>
      <c r="D22" s="744"/>
      <c r="E22" s="744"/>
      <c r="F22" s="133">
        <f>IF(D22=0,0,3.664*1000*E22/D22)</f>
        <v>0</v>
      </c>
      <c r="G22" s="58"/>
    </row>
    <row r="23" spans="2:7" ht="19.5" customHeight="1">
      <c r="B23" s="57"/>
      <c r="C23" s="770"/>
      <c r="D23" s="744"/>
      <c r="E23" s="744"/>
      <c r="F23" s="133">
        <f>IF(D23=0,0,3.664*1000*E23/D23)</f>
        <v>0</v>
      </c>
      <c r="G23" s="58"/>
    </row>
    <row r="24" spans="2:7" ht="19.5" customHeight="1">
      <c r="B24" s="57"/>
      <c r="C24" s="770"/>
      <c r="D24" s="744"/>
      <c r="E24" s="744"/>
      <c r="F24" s="133">
        <f>IF(D24=0,0,3.664*1000*E24/D24)</f>
        <v>0</v>
      </c>
      <c r="G24" s="58"/>
    </row>
    <row r="25" spans="2:7" ht="19.5" customHeight="1">
      <c r="B25" s="57"/>
      <c r="C25" s="770"/>
      <c r="D25" s="744"/>
      <c r="E25" s="744"/>
      <c r="F25" s="133">
        <f>IF(D25=0,0,3.664*1000*E25/D25)</f>
        <v>0</v>
      </c>
      <c r="G25" s="58"/>
    </row>
    <row r="26" spans="2:7" ht="19.5" customHeight="1" thickBot="1">
      <c r="B26" s="80"/>
      <c r="C26" s="81"/>
      <c r="D26" s="81"/>
      <c r="E26" s="81"/>
      <c r="F26" s="81"/>
      <c r="G26" s="77"/>
    </row>
    <row r="27" ht="13.5" thickTop="1"/>
    <row r="31" spans="6:8" ht="12.75">
      <c r="F31" s="148"/>
      <c r="H31" s="607"/>
    </row>
    <row r="32" ht="12.75">
      <c r="F32" s="608"/>
    </row>
    <row r="37" ht="12.75">
      <c r="F37" s="608"/>
    </row>
    <row r="41" spans="8:9" ht="12.75">
      <c r="H41" s="148"/>
      <c r="I41" s="607"/>
    </row>
    <row r="43" ht="12.75">
      <c r="H43" s="608"/>
    </row>
  </sheetData>
  <sheetProtection password="CD08" sheet="1" objects="1" scenarios="1"/>
  <mergeCells count="3">
    <mergeCell ref="D10:E10"/>
    <mergeCell ref="D8:E8"/>
    <mergeCell ref="D9:E9"/>
  </mergeCells>
  <printOptions/>
  <pageMargins left="0.75" right="0.75" top="1" bottom="1" header="0.5" footer="0.5"/>
  <pageSetup fitToHeight="1" fitToWidth="1" horizontalDpi="600" verticalDpi="600" orientation="portrait" scale="67" r:id="rId3"/>
  <headerFooter alignWithMargins="0">
    <oddHeader>&amp;L&amp;D&amp;R&amp;F</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2:G38"/>
  <sheetViews>
    <sheetView zoomScale="75" zoomScaleNormal="75" zoomScalePageLayoutView="0" workbookViewId="0" topLeftCell="A1">
      <selection activeCell="A1" sqref="A1"/>
    </sheetView>
  </sheetViews>
  <sheetFormatPr defaultColWidth="9.140625" defaultRowHeight="12.75"/>
  <cols>
    <col min="1" max="1" width="4.00390625" style="0" customWidth="1"/>
    <col min="2" max="2" width="23.57421875" style="0" customWidth="1"/>
    <col min="3" max="3" width="26.00390625" style="0" customWidth="1"/>
    <col min="4" max="4" width="25.140625" style="0" customWidth="1"/>
    <col min="5" max="5" width="24.00390625" style="0" customWidth="1"/>
    <col min="6" max="6" width="26.57421875" style="0" customWidth="1"/>
    <col min="7" max="7" width="4.28125" style="0" customWidth="1"/>
  </cols>
  <sheetData>
    <row r="1" s="28" customFormat="1" ht="18" customHeight="1"/>
    <row r="2" spans="1:4" s="28" customFormat="1" ht="18" customHeight="1">
      <c r="A2" s="132" t="s">
        <v>114</v>
      </c>
      <c r="B2" s="132"/>
      <c r="C2" s="132"/>
      <c r="D2" s="132"/>
    </row>
    <row r="3" spans="1:6" s="28" customFormat="1" ht="18" customHeight="1">
      <c r="A3" s="1052" t="s">
        <v>222</v>
      </c>
      <c r="B3" s="1052"/>
      <c r="C3" s="1052"/>
      <c r="D3" s="1052"/>
      <c r="E3" s="1052"/>
      <c r="F3" s="1052"/>
    </row>
    <row r="4" s="28" customFormat="1" ht="18" customHeight="1">
      <c r="A4" s="261" t="s">
        <v>115</v>
      </c>
    </row>
    <row r="5" s="28" customFormat="1" ht="18" customHeight="1" thickBot="1"/>
    <row r="6" spans="1:7" s="28" customFormat="1" ht="18" customHeight="1" thickTop="1">
      <c r="A6" s="104"/>
      <c r="B6" s="105"/>
      <c r="C6" s="105"/>
      <c r="D6" s="105"/>
      <c r="E6" s="105"/>
      <c r="F6" s="105"/>
      <c r="G6" s="106"/>
    </row>
    <row r="7" spans="1:7" s="28" customFormat="1" ht="18" customHeight="1">
      <c r="A7" s="107"/>
      <c r="B7" s="108"/>
      <c r="C7" s="108"/>
      <c r="D7" s="108"/>
      <c r="E7" s="109"/>
      <c r="F7" s="108"/>
      <c r="G7" s="110"/>
    </row>
    <row r="8" spans="1:7" s="28" customFormat="1" ht="28.5" customHeight="1">
      <c r="A8" s="107"/>
      <c r="B8" s="46" t="s">
        <v>415</v>
      </c>
      <c r="C8" s="47" t="s">
        <v>459</v>
      </c>
      <c r="D8" s="47" t="s">
        <v>116</v>
      </c>
      <c r="E8" s="47" t="s">
        <v>460</v>
      </c>
      <c r="F8" s="48" t="s">
        <v>461</v>
      </c>
      <c r="G8" s="110"/>
    </row>
    <row r="9" spans="1:7" s="28" customFormat="1" ht="28.5" customHeight="1">
      <c r="A9" s="107"/>
      <c r="B9" s="46"/>
      <c r="C9" s="47" t="s">
        <v>117</v>
      </c>
      <c r="D9" s="47" t="s">
        <v>118</v>
      </c>
      <c r="E9" s="47"/>
      <c r="F9" s="48" t="s">
        <v>119</v>
      </c>
      <c r="G9" s="110"/>
    </row>
    <row r="10" spans="1:7" s="28" customFormat="1" ht="18" customHeight="1">
      <c r="A10" s="107"/>
      <c r="B10" s="115"/>
      <c r="C10" s="45"/>
      <c r="D10" s="45"/>
      <c r="E10" s="45"/>
      <c r="F10" s="51"/>
      <c r="G10" s="110"/>
    </row>
    <row r="11" spans="1:7" s="28" customFormat="1" ht="18" customHeight="1">
      <c r="A11" s="107"/>
      <c r="B11" s="44" t="s">
        <v>458</v>
      </c>
      <c r="C11" s="142">
        <v>0.0362</v>
      </c>
      <c r="D11" s="142">
        <f aca="true" t="shared" si="0" ref="D11:D18">C11*0.95</f>
        <v>0.034390000000000004</v>
      </c>
      <c r="E11" s="44">
        <v>85.5</v>
      </c>
      <c r="F11" s="815">
        <v>0.739</v>
      </c>
      <c r="G11" s="110"/>
    </row>
    <row r="12" spans="1:7" s="28" customFormat="1" ht="18" customHeight="1">
      <c r="A12" s="107"/>
      <c r="B12" s="44" t="s">
        <v>418</v>
      </c>
      <c r="C12" s="142">
        <v>0.0376</v>
      </c>
      <c r="D12" s="142">
        <f t="shared" si="0"/>
        <v>0.03572</v>
      </c>
      <c r="E12" s="44"/>
      <c r="F12" s="49">
        <v>0.81</v>
      </c>
      <c r="G12" s="110"/>
    </row>
    <row r="13" spans="1:7" s="28" customFormat="1" ht="18" customHeight="1">
      <c r="A13" s="107"/>
      <c r="B13" s="44" t="s">
        <v>462</v>
      </c>
      <c r="C13" s="142">
        <v>0.039</v>
      </c>
      <c r="D13" s="142">
        <f t="shared" si="0"/>
        <v>0.03705</v>
      </c>
      <c r="E13" s="44">
        <v>86.6</v>
      </c>
      <c r="F13" s="815">
        <v>0.845</v>
      </c>
      <c r="G13" s="110"/>
    </row>
    <row r="14" spans="1:7" s="28" customFormat="1" ht="18" customHeight="1">
      <c r="A14" s="107"/>
      <c r="B14" s="44" t="s">
        <v>463</v>
      </c>
      <c r="C14" s="142">
        <v>0.039</v>
      </c>
      <c r="D14" s="142">
        <f t="shared" si="0"/>
        <v>0.03705</v>
      </c>
      <c r="E14" s="44">
        <v>87.3</v>
      </c>
      <c r="F14" s="815">
        <v>0.845</v>
      </c>
      <c r="G14" s="110"/>
    </row>
    <row r="15" spans="1:7" s="28" customFormat="1" ht="18" customHeight="1">
      <c r="A15" s="107"/>
      <c r="B15" s="50" t="s">
        <v>120</v>
      </c>
      <c r="C15" s="142">
        <v>0.0399</v>
      </c>
      <c r="D15" s="142">
        <f t="shared" si="0"/>
        <v>0.037904999999999994</v>
      </c>
      <c r="E15" s="44">
        <v>86.4</v>
      </c>
      <c r="F15" s="815">
        <v>0.909</v>
      </c>
      <c r="G15" s="110"/>
    </row>
    <row r="16" spans="1:7" s="28" customFormat="1" ht="18" customHeight="1">
      <c r="A16" s="107"/>
      <c r="B16" s="50" t="s">
        <v>464</v>
      </c>
      <c r="C16" s="142">
        <v>0.0418</v>
      </c>
      <c r="D16" s="142">
        <f t="shared" si="0"/>
        <v>0.039709999999999995</v>
      </c>
      <c r="E16" s="44">
        <v>88.7</v>
      </c>
      <c r="F16" s="49">
        <v>0.95</v>
      </c>
      <c r="G16" s="110"/>
    </row>
    <row r="17" spans="1:7" s="28" customFormat="1" ht="18" customHeight="1">
      <c r="A17" s="107"/>
      <c r="B17" s="44" t="s">
        <v>465</v>
      </c>
      <c r="C17" s="142">
        <v>0.0427</v>
      </c>
      <c r="D17" s="142">
        <f t="shared" si="0"/>
        <v>0.040565</v>
      </c>
      <c r="E17" s="44">
        <v>88.3</v>
      </c>
      <c r="F17" s="49">
        <v>1.01</v>
      </c>
      <c r="G17" s="110"/>
    </row>
    <row r="18" spans="1:7" s="28" customFormat="1" ht="18" customHeight="1">
      <c r="A18" s="107"/>
      <c r="B18" s="44" t="s">
        <v>404</v>
      </c>
      <c r="C18" s="142">
        <v>0.0262</v>
      </c>
      <c r="D18" s="142">
        <f t="shared" si="0"/>
        <v>0.02489</v>
      </c>
      <c r="E18" s="44"/>
      <c r="F18" s="815" t="s">
        <v>121</v>
      </c>
      <c r="G18" s="110"/>
    </row>
    <row r="19" spans="1:7" s="28" customFormat="1" ht="18" customHeight="1">
      <c r="A19" s="107"/>
      <c r="B19" s="53" t="s">
        <v>405</v>
      </c>
      <c r="C19" s="142" t="s">
        <v>122</v>
      </c>
      <c r="D19" s="142" t="s">
        <v>123</v>
      </c>
      <c r="E19" s="44">
        <v>80.6</v>
      </c>
      <c r="F19" s="816"/>
      <c r="G19" s="110"/>
    </row>
    <row r="20" spans="1:7" s="28" customFormat="1" ht="18" customHeight="1">
      <c r="A20" s="107"/>
      <c r="B20" s="53" t="s">
        <v>457</v>
      </c>
      <c r="C20" s="142" t="s">
        <v>124</v>
      </c>
      <c r="D20" s="142" t="s">
        <v>125</v>
      </c>
      <c r="E20" s="44">
        <v>80.1</v>
      </c>
      <c r="F20" s="815"/>
      <c r="G20" s="110"/>
    </row>
    <row r="21" spans="1:7" s="28" customFormat="1" ht="18" customHeight="1">
      <c r="A21" s="107"/>
      <c r="B21" s="53" t="s">
        <v>126</v>
      </c>
      <c r="C21" s="142" t="s">
        <v>127</v>
      </c>
      <c r="D21" s="142" t="s">
        <v>128</v>
      </c>
      <c r="E21" s="44"/>
      <c r="F21" s="815"/>
      <c r="G21" s="110"/>
    </row>
    <row r="22" spans="1:7" s="28" customFormat="1" ht="18" customHeight="1">
      <c r="A22" s="107"/>
      <c r="B22" s="53" t="s">
        <v>129</v>
      </c>
      <c r="C22" s="142" t="s">
        <v>130</v>
      </c>
      <c r="D22" s="142" t="s">
        <v>131</v>
      </c>
      <c r="E22" s="44"/>
      <c r="F22" s="815"/>
      <c r="G22" s="110"/>
    </row>
    <row r="23" spans="1:7" s="28" customFormat="1" ht="18" customHeight="1">
      <c r="A23" s="107"/>
      <c r="B23" s="53" t="s">
        <v>456</v>
      </c>
      <c r="C23" s="142">
        <v>0.0271</v>
      </c>
      <c r="D23" s="142">
        <f>C23*0.95</f>
        <v>0.025744999999999997</v>
      </c>
      <c r="E23" s="44">
        <v>83.6</v>
      </c>
      <c r="F23" s="815" t="s">
        <v>132</v>
      </c>
      <c r="G23" s="110"/>
    </row>
    <row r="24" spans="1:7" s="28" customFormat="1" ht="18" customHeight="1">
      <c r="A24" s="107"/>
      <c r="B24" s="53" t="s">
        <v>419</v>
      </c>
      <c r="C24" s="142">
        <v>0.0252</v>
      </c>
      <c r="D24" s="142">
        <f>C24*0.95</f>
        <v>0.02394</v>
      </c>
      <c r="E24" s="44">
        <v>81.6</v>
      </c>
      <c r="F24" s="815" t="s">
        <v>133</v>
      </c>
      <c r="G24" s="110"/>
    </row>
    <row r="25" spans="1:7" s="28" customFormat="1" ht="18.75" customHeight="1">
      <c r="A25" s="107"/>
      <c r="B25" s="53" t="s">
        <v>466</v>
      </c>
      <c r="C25" s="142" t="s">
        <v>134</v>
      </c>
      <c r="D25" s="142" t="s">
        <v>135</v>
      </c>
      <c r="E25" s="44">
        <v>85</v>
      </c>
      <c r="F25" s="815"/>
      <c r="G25" s="110"/>
    </row>
    <row r="26" spans="1:7" s="28" customFormat="1" ht="18.75" customHeight="1">
      <c r="A26" s="107"/>
      <c r="B26" s="53" t="s">
        <v>136</v>
      </c>
      <c r="C26" s="142" t="s">
        <v>155</v>
      </c>
      <c r="D26" s="142" t="s">
        <v>156</v>
      </c>
      <c r="E26" s="44">
        <v>76</v>
      </c>
      <c r="F26" s="816" t="s">
        <v>150</v>
      </c>
      <c r="G26" s="110"/>
    </row>
    <row r="27" spans="1:7" s="28" customFormat="1" ht="19.5" customHeight="1">
      <c r="A27" s="107"/>
      <c r="B27" s="627" t="s">
        <v>137</v>
      </c>
      <c r="C27" s="143" t="s">
        <v>138</v>
      </c>
      <c r="D27" s="143" t="s">
        <v>139</v>
      </c>
      <c r="E27" s="44"/>
      <c r="F27" s="815"/>
      <c r="G27" s="110"/>
    </row>
    <row r="28" spans="1:7" s="28" customFormat="1" ht="18" customHeight="1">
      <c r="A28" s="107"/>
      <c r="B28" s="627" t="s">
        <v>140</v>
      </c>
      <c r="C28" s="143" t="s">
        <v>141</v>
      </c>
      <c r="D28" s="143" t="s">
        <v>142</v>
      </c>
      <c r="E28" s="44"/>
      <c r="F28" s="815"/>
      <c r="G28" s="110"/>
    </row>
    <row r="29" spans="1:7" s="28" customFormat="1" ht="21.75" customHeight="1">
      <c r="A29" s="107"/>
      <c r="B29" s="627" t="s">
        <v>143</v>
      </c>
      <c r="C29" s="143" t="s">
        <v>144</v>
      </c>
      <c r="D29" s="143" t="s">
        <v>145</v>
      </c>
      <c r="E29" s="44"/>
      <c r="F29" s="815"/>
      <c r="G29" s="110"/>
    </row>
    <row r="30" spans="1:7" s="28" customFormat="1" ht="21" customHeight="1">
      <c r="A30" s="107"/>
      <c r="B30" s="627" t="s">
        <v>146</v>
      </c>
      <c r="C30" s="143" t="s">
        <v>147</v>
      </c>
      <c r="D30" s="143" t="s">
        <v>148</v>
      </c>
      <c r="E30" s="44"/>
      <c r="F30" s="815"/>
      <c r="G30" s="110"/>
    </row>
    <row r="31" spans="1:7" s="28" customFormat="1" ht="18" customHeight="1">
      <c r="A31" s="107"/>
      <c r="B31" s="144"/>
      <c r="C31" s="145"/>
      <c r="D31" s="145"/>
      <c r="E31" s="120"/>
      <c r="F31" s="120"/>
      <c r="G31" s="110"/>
    </row>
    <row r="32" spans="1:7" s="28" customFormat="1" ht="42" customHeight="1">
      <c r="A32" s="107"/>
      <c r="B32" s="1051" t="s">
        <v>154</v>
      </c>
      <c r="C32" s="1050"/>
      <c r="D32" s="1050"/>
      <c r="E32" s="1050"/>
      <c r="F32" s="1050"/>
      <c r="G32" s="110"/>
    </row>
    <row r="33" spans="1:7" s="28" customFormat="1" ht="63.75" customHeight="1">
      <c r="A33" s="107"/>
      <c r="B33" s="1051" t="s">
        <v>152</v>
      </c>
      <c r="C33" s="1050"/>
      <c r="D33" s="1050"/>
      <c r="E33" s="1050"/>
      <c r="F33" s="1050"/>
      <c r="G33" s="110"/>
    </row>
    <row r="34" spans="1:7" s="28" customFormat="1" ht="15.75" customHeight="1">
      <c r="A34" s="107"/>
      <c r="B34" s="1051" t="s">
        <v>151</v>
      </c>
      <c r="C34" s="1050"/>
      <c r="D34" s="1050"/>
      <c r="E34" s="1050"/>
      <c r="F34" s="1050"/>
      <c r="G34" s="110"/>
    </row>
    <row r="35" spans="1:7" s="28" customFormat="1" ht="54" customHeight="1">
      <c r="A35" s="107"/>
      <c r="B35" s="1053" t="s">
        <v>149</v>
      </c>
      <c r="C35" s="1050"/>
      <c r="D35" s="1050"/>
      <c r="E35" s="1050"/>
      <c r="F35" s="1050"/>
      <c r="G35" s="110"/>
    </row>
    <row r="36" spans="1:7" s="28" customFormat="1" ht="43.5" customHeight="1">
      <c r="A36" s="107"/>
      <c r="B36" s="1049" t="s">
        <v>153</v>
      </c>
      <c r="C36" s="1050"/>
      <c r="D36" s="1050"/>
      <c r="E36" s="1050"/>
      <c r="F36" s="1050"/>
      <c r="G36" s="110"/>
    </row>
    <row r="37" spans="1:7" s="28" customFormat="1" ht="18.75" customHeight="1" thickBot="1">
      <c r="A37" s="112"/>
      <c r="B37" s="264"/>
      <c r="C37" s="264"/>
      <c r="D37" s="264"/>
      <c r="E37" s="264"/>
      <c r="F37" s="264"/>
      <c r="G37" s="111"/>
    </row>
    <row r="38" spans="2:5" s="28" customFormat="1" ht="18" customHeight="1" thickTop="1">
      <c r="B38"/>
      <c r="C38"/>
      <c r="D38"/>
      <c r="E38"/>
    </row>
  </sheetData>
  <sheetProtection password="CD08" sheet="1" objects="1" scenarios="1"/>
  <mergeCells count="6">
    <mergeCell ref="B36:F36"/>
    <mergeCell ref="B33:F33"/>
    <mergeCell ref="A3:F3"/>
    <mergeCell ref="B32:F32"/>
    <mergeCell ref="B34:F34"/>
    <mergeCell ref="B35:F35"/>
  </mergeCells>
  <printOptions/>
  <pageMargins left="0.75" right="0.75" top="1" bottom="1" header="0.5" footer="0.5"/>
  <pageSetup fitToHeight="1" fitToWidth="1" horizontalDpi="600" verticalDpi="600" orientation="portrait" scale="68" r:id="rId1"/>
</worksheet>
</file>

<file path=xl/worksheets/sheet15.xml><?xml version="1.0" encoding="utf-8"?>
<worksheet xmlns="http://schemas.openxmlformats.org/spreadsheetml/2006/main" xmlns:r="http://schemas.openxmlformats.org/officeDocument/2006/relationships">
  <sheetPr>
    <pageSetUpPr fitToPage="1"/>
  </sheetPr>
  <dimension ref="A1:G45"/>
  <sheetViews>
    <sheetView zoomScale="75" zoomScaleNormal="75" zoomScalePageLayoutView="0" workbookViewId="0" topLeftCell="A4">
      <selection activeCell="A1" sqref="A1"/>
    </sheetView>
  </sheetViews>
  <sheetFormatPr defaultColWidth="9.7109375" defaultRowHeight="12.75"/>
  <cols>
    <col min="1" max="1" width="9.140625" style="4" customWidth="1"/>
    <col min="2" max="2" width="7.8515625" style="4" customWidth="1"/>
    <col min="3" max="3" width="30.00390625" style="4" customWidth="1"/>
    <col min="4" max="4" width="37.28125" style="62" customWidth="1"/>
    <col min="5" max="5" width="31.57421875" style="62" customWidth="1"/>
    <col min="6" max="6" width="41.00390625" style="62" customWidth="1"/>
    <col min="7" max="7" width="14.421875" style="4" customWidth="1"/>
    <col min="8" max="8" width="14.7109375" style="4" customWidth="1"/>
    <col min="9" max="16384" width="9.7109375" style="4" customWidth="1"/>
  </cols>
  <sheetData>
    <row r="1" ht="15">
      <c r="A1" s="496" t="s">
        <v>583</v>
      </c>
    </row>
    <row r="2" spans="1:5" ht="15">
      <c r="A2" s="497" t="s">
        <v>586</v>
      </c>
      <c r="B2" s="183"/>
      <c r="C2" s="183"/>
      <c r="D2" s="184"/>
      <c r="E2" s="184"/>
    </row>
    <row r="3" spans="4:6" s="15" customFormat="1" ht="18" customHeight="1">
      <c r="D3" s="59"/>
      <c r="E3" s="59"/>
      <c r="F3" s="59"/>
    </row>
    <row r="4" spans="1:6" s="15" customFormat="1" ht="18" customHeight="1">
      <c r="A4" s="38" t="s">
        <v>411</v>
      </c>
      <c r="D4" s="59"/>
      <c r="E4" s="59"/>
      <c r="F4" s="59"/>
    </row>
    <row r="5" spans="1:6" s="15" customFormat="1" ht="18" customHeight="1">
      <c r="A5" s="38"/>
      <c r="D5" s="59"/>
      <c r="E5" s="59"/>
      <c r="F5" s="59"/>
    </row>
    <row r="6" spans="2:6" s="1" customFormat="1" ht="18" customHeight="1" thickBot="1">
      <c r="B6" s="2"/>
      <c r="D6" s="60"/>
      <c r="E6" s="60"/>
      <c r="F6" s="60"/>
    </row>
    <row r="7" spans="2:7" s="1" customFormat="1" ht="19.5" customHeight="1" thickTop="1">
      <c r="B7" s="54"/>
      <c r="C7" s="55"/>
      <c r="D7" s="100"/>
      <c r="E7" s="100"/>
      <c r="F7" s="100"/>
      <c r="G7" s="56"/>
    </row>
    <row r="8" spans="2:7" s="27" customFormat="1" ht="19.5" customHeight="1">
      <c r="B8" s="93"/>
      <c r="C8" s="52" t="s">
        <v>469</v>
      </c>
      <c r="D8" s="61"/>
      <c r="E8" s="61"/>
      <c r="F8" s="61"/>
      <c r="G8" s="97"/>
    </row>
    <row r="9" spans="2:7" s="27" customFormat="1" ht="19.5" customHeight="1">
      <c r="B9" s="93"/>
      <c r="C9" s="29" t="s">
        <v>470</v>
      </c>
      <c r="D9" s="30" t="s">
        <v>471</v>
      </c>
      <c r="E9" s="30" t="s">
        <v>555</v>
      </c>
      <c r="F9" s="30" t="s">
        <v>278</v>
      </c>
      <c r="G9" s="97"/>
    </row>
    <row r="10" spans="2:7" s="27" customFormat="1" ht="19.5" customHeight="1">
      <c r="B10" s="93"/>
      <c r="C10" s="29" t="s">
        <v>468</v>
      </c>
      <c r="D10" s="30" t="s">
        <v>472</v>
      </c>
      <c r="E10" s="30"/>
      <c r="F10" s="30"/>
      <c r="G10" s="97"/>
    </row>
    <row r="11" spans="2:7" s="27" customFormat="1" ht="19.5" customHeight="1">
      <c r="B11" s="93"/>
      <c r="C11" s="29" t="s">
        <v>473</v>
      </c>
      <c r="D11" s="30" t="s">
        <v>526</v>
      </c>
      <c r="E11" s="30" t="s">
        <v>474</v>
      </c>
      <c r="F11" s="30"/>
      <c r="G11" s="97"/>
    </row>
    <row r="12" spans="2:7" s="27" customFormat="1" ht="19.5" customHeight="1">
      <c r="B12" s="93"/>
      <c r="C12" s="29" t="s">
        <v>277</v>
      </c>
      <c r="D12" s="30" t="s">
        <v>527</v>
      </c>
      <c r="E12" s="30" t="s">
        <v>528</v>
      </c>
      <c r="F12" s="30" t="s">
        <v>489</v>
      </c>
      <c r="G12" s="97"/>
    </row>
    <row r="13" spans="2:7" s="27" customFormat="1" ht="19.5" customHeight="1">
      <c r="B13" s="93"/>
      <c r="C13" s="29"/>
      <c r="D13" s="30"/>
      <c r="E13" s="30"/>
      <c r="F13" s="30"/>
      <c r="G13" s="97"/>
    </row>
    <row r="14" spans="2:7" s="27" customFormat="1" ht="19.5" customHeight="1">
      <c r="B14" s="93"/>
      <c r="C14" s="52" t="s">
        <v>475</v>
      </c>
      <c r="D14" s="30"/>
      <c r="E14" s="30"/>
      <c r="F14" s="30"/>
      <c r="G14" s="97"/>
    </row>
    <row r="15" spans="2:7" s="27" customFormat="1" ht="19.5" customHeight="1">
      <c r="B15" s="93"/>
      <c r="C15" s="29" t="s">
        <v>541</v>
      </c>
      <c r="D15" s="30" t="s">
        <v>476</v>
      </c>
      <c r="E15" s="30" t="s">
        <v>477</v>
      </c>
      <c r="F15" s="30"/>
      <c r="G15" s="97"/>
    </row>
    <row r="16" spans="2:7" s="27" customFormat="1" ht="19.5" customHeight="1">
      <c r="B16" s="93"/>
      <c r="C16" s="29" t="s">
        <v>541</v>
      </c>
      <c r="D16" s="30" t="s">
        <v>478</v>
      </c>
      <c r="E16" s="30" t="s">
        <v>544</v>
      </c>
      <c r="F16" s="30"/>
      <c r="G16" s="97"/>
    </row>
    <row r="17" spans="2:7" s="27" customFormat="1" ht="19.5" customHeight="1">
      <c r="B17" s="93"/>
      <c r="C17" s="29" t="s">
        <v>479</v>
      </c>
      <c r="D17" s="64" t="s">
        <v>481</v>
      </c>
      <c r="E17" s="30" t="s">
        <v>480</v>
      </c>
      <c r="F17" s="30" t="s">
        <v>546</v>
      </c>
      <c r="G17" s="97"/>
    </row>
    <row r="18" spans="2:7" s="27" customFormat="1" ht="19.5" customHeight="1">
      <c r="B18" s="93"/>
      <c r="C18" s="29" t="s">
        <v>482</v>
      </c>
      <c r="D18" s="30" t="s">
        <v>483</v>
      </c>
      <c r="E18" s="30" t="s">
        <v>490</v>
      </c>
      <c r="F18" s="30" t="s">
        <v>545</v>
      </c>
      <c r="G18" s="97"/>
    </row>
    <row r="19" spans="2:7" s="27" customFormat="1" ht="19.5" customHeight="1">
      <c r="B19" s="93"/>
      <c r="C19" s="29" t="s">
        <v>491</v>
      </c>
      <c r="D19" s="30" t="s">
        <v>543</v>
      </c>
      <c r="E19" s="30" t="s">
        <v>492</v>
      </c>
      <c r="F19" s="30"/>
      <c r="G19" s="97"/>
    </row>
    <row r="20" spans="2:7" s="27" customFormat="1" ht="19.5" customHeight="1">
      <c r="B20" s="93"/>
      <c r="C20" s="29" t="s">
        <v>542</v>
      </c>
      <c r="D20" s="30" t="s">
        <v>493</v>
      </c>
      <c r="E20" s="30" t="s">
        <v>494</v>
      </c>
      <c r="F20" s="30" t="s">
        <v>529</v>
      </c>
      <c r="G20" s="97"/>
    </row>
    <row r="21" spans="2:7" s="27" customFormat="1" ht="19.5" customHeight="1">
      <c r="B21" s="93"/>
      <c r="C21" s="29"/>
      <c r="D21" s="30"/>
      <c r="E21" s="30"/>
      <c r="F21" s="30"/>
      <c r="G21" s="97"/>
    </row>
    <row r="22" spans="2:7" s="27" customFormat="1" ht="19.5" customHeight="1">
      <c r="B22" s="93"/>
      <c r="C22" s="52" t="s">
        <v>410</v>
      </c>
      <c r="D22" s="30"/>
      <c r="E22" s="30"/>
      <c r="F22" s="30"/>
      <c r="G22" s="97"/>
    </row>
    <row r="23" spans="2:7" s="27" customFormat="1" ht="19.5" customHeight="1">
      <c r="B23" s="93"/>
      <c r="C23" s="29" t="s">
        <v>495</v>
      </c>
      <c r="D23" s="30" t="s">
        <v>496</v>
      </c>
      <c r="E23" s="30" t="s">
        <v>530</v>
      </c>
      <c r="F23" s="30"/>
      <c r="G23" s="97"/>
    </row>
    <row r="24" spans="2:7" s="27" customFormat="1" ht="19.5" customHeight="1">
      <c r="B24" s="93"/>
      <c r="C24" s="29" t="s">
        <v>502</v>
      </c>
      <c r="D24" s="30" t="s">
        <v>503</v>
      </c>
      <c r="E24" s="30"/>
      <c r="F24" s="30"/>
      <c r="G24" s="97"/>
    </row>
    <row r="25" spans="2:7" s="27" customFormat="1" ht="19.5" customHeight="1">
      <c r="B25" s="93"/>
      <c r="C25" s="29" t="s">
        <v>497</v>
      </c>
      <c r="D25" s="30" t="s">
        <v>504</v>
      </c>
      <c r="E25" s="30" t="s">
        <v>505</v>
      </c>
      <c r="F25" s="30"/>
      <c r="G25" s="97"/>
    </row>
    <row r="26" spans="2:7" s="27" customFormat="1" ht="19.5" customHeight="1">
      <c r="B26" s="93"/>
      <c r="C26" s="29" t="s">
        <v>500</v>
      </c>
      <c r="D26" s="30" t="s">
        <v>531</v>
      </c>
      <c r="E26" s="30"/>
      <c r="F26" s="30"/>
      <c r="G26" s="97"/>
    </row>
    <row r="27" spans="2:7" s="27" customFormat="1" ht="19.5" customHeight="1">
      <c r="B27" s="93"/>
      <c r="C27" s="29" t="s">
        <v>501</v>
      </c>
      <c r="D27" s="30" t="s">
        <v>498</v>
      </c>
      <c r="E27" s="30" t="s">
        <v>499</v>
      </c>
      <c r="F27" s="30"/>
      <c r="G27" s="97"/>
    </row>
    <row r="28" spans="2:7" s="27" customFormat="1" ht="19.5" customHeight="1">
      <c r="B28" s="93"/>
      <c r="C28" s="29" t="s">
        <v>508</v>
      </c>
      <c r="D28" s="30" t="s">
        <v>532</v>
      </c>
      <c r="E28" s="30" t="s">
        <v>509</v>
      </c>
      <c r="F28" s="30" t="s">
        <v>510</v>
      </c>
      <c r="G28" s="97"/>
    </row>
    <row r="29" spans="2:7" s="27" customFormat="1" ht="19.5" customHeight="1">
      <c r="B29" s="93"/>
      <c r="C29" s="29"/>
      <c r="D29" s="30"/>
      <c r="E29" s="30"/>
      <c r="F29" s="30"/>
      <c r="G29" s="97"/>
    </row>
    <row r="30" spans="2:7" s="27" customFormat="1" ht="19.5" customHeight="1">
      <c r="B30" s="93"/>
      <c r="C30" s="52" t="s">
        <v>506</v>
      </c>
      <c r="D30" s="30"/>
      <c r="E30" s="30"/>
      <c r="F30" s="30"/>
      <c r="G30" s="97"/>
    </row>
    <row r="31" spans="2:7" s="27" customFormat="1" ht="19.5" customHeight="1">
      <c r="B31" s="93"/>
      <c r="C31" s="29" t="s">
        <v>518</v>
      </c>
      <c r="D31" s="30" t="s">
        <v>533</v>
      </c>
      <c r="E31" s="30"/>
      <c r="F31" s="30"/>
      <c r="G31" s="97"/>
    </row>
    <row r="32" spans="2:7" s="27" customFormat="1" ht="19.5" customHeight="1">
      <c r="B32" s="93"/>
      <c r="C32" s="29" t="s">
        <v>519</v>
      </c>
      <c r="D32" s="30" t="s">
        <v>534</v>
      </c>
      <c r="E32" s="30"/>
      <c r="F32" s="30"/>
      <c r="G32" s="97"/>
    </row>
    <row r="33" spans="2:7" s="27" customFormat="1" ht="19.5" customHeight="1">
      <c r="B33" s="93"/>
      <c r="C33" s="29" t="s">
        <v>520</v>
      </c>
      <c r="D33" s="30" t="s">
        <v>535</v>
      </c>
      <c r="E33" s="30"/>
      <c r="F33" s="30"/>
      <c r="G33" s="97"/>
    </row>
    <row r="34" spans="2:7" s="27" customFormat="1" ht="19.5" customHeight="1">
      <c r="B34" s="93"/>
      <c r="C34" s="29" t="s">
        <v>521</v>
      </c>
      <c r="D34" s="30" t="s">
        <v>536</v>
      </c>
      <c r="E34" s="30"/>
      <c r="F34" s="30"/>
      <c r="G34" s="97"/>
    </row>
    <row r="35" spans="2:7" s="27" customFormat="1" ht="19.5" customHeight="1">
      <c r="B35" s="93"/>
      <c r="C35" s="29" t="s">
        <v>517</v>
      </c>
      <c r="D35" s="30" t="s">
        <v>285</v>
      </c>
      <c r="E35" s="30"/>
      <c r="F35" s="30"/>
      <c r="G35" s="97"/>
    </row>
    <row r="36" spans="2:7" s="27" customFormat="1" ht="19.5" customHeight="1">
      <c r="B36" s="93"/>
      <c r="C36" s="29" t="s">
        <v>516</v>
      </c>
      <c r="D36" s="30" t="s">
        <v>286</v>
      </c>
      <c r="E36" s="30"/>
      <c r="F36" s="30"/>
      <c r="G36" s="97"/>
    </row>
    <row r="37" spans="2:7" s="27" customFormat="1" ht="19.5" customHeight="1">
      <c r="B37" s="93"/>
      <c r="C37" s="29" t="s">
        <v>513</v>
      </c>
      <c r="D37" s="30" t="s">
        <v>287</v>
      </c>
      <c r="E37" s="30" t="s">
        <v>515</v>
      </c>
      <c r="F37" s="30" t="s">
        <v>514</v>
      </c>
      <c r="G37" s="97"/>
    </row>
    <row r="38" spans="2:7" s="27" customFormat="1" ht="19.5" customHeight="1">
      <c r="B38" s="93"/>
      <c r="C38" s="29" t="s">
        <v>511</v>
      </c>
      <c r="D38" s="30" t="s">
        <v>512</v>
      </c>
      <c r="E38" s="30"/>
      <c r="F38" s="30"/>
      <c r="G38" s="97"/>
    </row>
    <row r="39" spans="2:7" s="27" customFormat="1" ht="19.5" customHeight="1">
      <c r="B39" s="93"/>
      <c r="C39" s="29" t="s">
        <v>279</v>
      </c>
      <c r="D39" s="30" t="s">
        <v>282</v>
      </c>
      <c r="E39" s="30"/>
      <c r="F39" s="30"/>
      <c r="G39" s="97"/>
    </row>
    <row r="40" spans="2:7" s="27" customFormat="1" ht="19.5" customHeight="1">
      <c r="B40" s="93"/>
      <c r="C40" s="29" t="s">
        <v>280</v>
      </c>
      <c r="D40" s="30" t="s">
        <v>283</v>
      </c>
      <c r="E40" s="30"/>
      <c r="F40" s="30"/>
      <c r="G40" s="97"/>
    </row>
    <row r="41" spans="2:7" s="27" customFormat="1" ht="19.5" customHeight="1">
      <c r="B41" s="93"/>
      <c r="C41" s="29" t="s">
        <v>281</v>
      </c>
      <c r="D41" s="30" t="s">
        <v>284</v>
      </c>
      <c r="E41" s="30"/>
      <c r="F41" s="30"/>
      <c r="G41" s="97"/>
    </row>
    <row r="42" spans="2:7" s="27" customFormat="1" ht="19.5" customHeight="1">
      <c r="B42" s="93"/>
      <c r="C42" s="95"/>
      <c r="D42" s="96"/>
      <c r="E42" s="96"/>
      <c r="F42" s="96"/>
      <c r="G42" s="97"/>
    </row>
    <row r="43" spans="2:7" s="27" customFormat="1" ht="19.5" customHeight="1">
      <c r="B43" s="93"/>
      <c r="C43" s="102"/>
      <c r="D43" s="102"/>
      <c r="E43" s="102"/>
      <c r="F43" s="102"/>
      <c r="G43" s="97"/>
    </row>
    <row r="44" spans="2:7" s="27" customFormat="1" ht="19.5" customHeight="1">
      <c r="B44" s="93"/>
      <c r="C44" s="101"/>
      <c r="D44" s="147"/>
      <c r="E44" s="102"/>
      <c r="F44" s="102"/>
      <c r="G44" s="97"/>
    </row>
    <row r="45" spans="2:7" ht="19.5" customHeight="1" thickBot="1">
      <c r="B45" s="80"/>
      <c r="C45" s="81"/>
      <c r="D45" s="103"/>
      <c r="E45" s="103"/>
      <c r="F45" s="103"/>
      <c r="G45" s="77"/>
    </row>
    <row r="46" ht="13.5" thickTop="1"/>
    <row r="67" ht="17.25" customHeight="1"/>
    <row r="68" ht="17.25" customHeight="1"/>
    <row r="69" ht="17.25" customHeight="1"/>
    <row r="70" ht="17.25" customHeight="1"/>
    <row r="71" ht="17.25" customHeight="1"/>
  </sheetData>
  <sheetProtection password="CD08" sheet="1" objects="1" scenarios="1"/>
  <printOptions/>
  <pageMargins left="0.75" right="0.75" top="1" bottom="1" header="0.5" footer="0.5"/>
  <pageSetup fitToHeight="1" fitToWidth="1" horizontalDpi="600" verticalDpi="600" orientation="portrait" scale="53" r:id="rId1"/>
</worksheet>
</file>

<file path=xl/worksheets/sheet16.xml><?xml version="1.0" encoding="utf-8"?>
<worksheet xmlns="http://schemas.openxmlformats.org/spreadsheetml/2006/main" xmlns:r="http://schemas.openxmlformats.org/officeDocument/2006/relationships">
  <sheetPr>
    <pageSetUpPr fitToPage="1"/>
  </sheetPr>
  <dimension ref="A1:S70"/>
  <sheetViews>
    <sheetView zoomScale="75" zoomScaleNormal="75" zoomScalePageLayoutView="0" workbookViewId="0" topLeftCell="A1">
      <selection activeCell="A1" sqref="A1"/>
    </sheetView>
  </sheetViews>
  <sheetFormatPr defaultColWidth="9.140625" defaultRowHeight="12.75"/>
  <cols>
    <col min="1" max="1" width="4.57421875" style="0" customWidth="1"/>
    <col min="2" max="2" width="5.8515625" style="0" customWidth="1"/>
    <col min="3" max="3" width="33.7109375" style="0" customWidth="1"/>
    <col min="4" max="4" width="24.140625" style="0" customWidth="1"/>
    <col min="5" max="5" width="16.421875" style="0" customWidth="1"/>
    <col min="6" max="6" width="16.7109375" style="0" customWidth="1"/>
    <col min="7" max="7" width="22.421875" style="0" customWidth="1"/>
    <col min="8" max="8" width="23.57421875" style="0" customWidth="1"/>
    <col min="9" max="9" width="23.28125" style="0" customWidth="1"/>
    <col min="10" max="10" width="18.8515625" style="0" customWidth="1"/>
    <col min="11" max="11" width="13.421875" style="0" customWidth="1"/>
  </cols>
  <sheetData>
    <row r="1" spans="2:13" s="4" customFormat="1" ht="21.75" customHeight="1">
      <c r="B1" s="1017"/>
      <c r="C1" s="1018"/>
      <c r="D1" s="1018"/>
      <c r="E1" s="1018"/>
      <c r="F1" s="1018"/>
      <c r="G1" s="1018"/>
      <c r="H1" s="1019"/>
      <c r="I1" s="1019"/>
      <c r="J1" s="1020"/>
      <c r="K1" s="1021"/>
      <c r="L1" s="1021"/>
      <c r="M1" s="1021"/>
    </row>
    <row r="2" spans="5:7" s="4" customFormat="1" ht="6.75" customHeight="1" thickBot="1">
      <c r="E2" s="148"/>
      <c r="F2" s="148"/>
      <c r="G2" s="148"/>
    </row>
    <row r="3" spans="2:7" s="4" customFormat="1" ht="24" customHeight="1" thickTop="1">
      <c r="B3" s="594"/>
      <c r="C3" s="595" t="s">
        <v>268</v>
      </c>
      <c r="D3" s="596"/>
      <c r="E3" s="597"/>
      <c r="F3" s="597"/>
      <c r="G3" s="598"/>
    </row>
    <row r="4" spans="2:7" s="4" customFormat="1" ht="24.75" customHeight="1" thickBot="1">
      <c r="B4" s="599"/>
      <c r="C4" s="600" t="s">
        <v>267</v>
      </c>
      <c r="D4" s="601"/>
      <c r="E4" s="601"/>
      <c r="F4" s="601"/>
      <c r="G4" s="602"/>
    </row>
    <row r="5" spans="2:10" s="4" customFormat="1" ht="76.5" customHeight="1" thickTop="1">
      <c r="B5" s="1060" t="s">
        <v>262</v>
      </c>
      <c r="C5" s="1061"/>
      <c r="D5" s="1061"/>
      <c r="E5" s="1061"/>
      <c r="F5" s="1061"/>
      <c r="G5" s="1062"/>
      <c r="H5" s="525"/>
      <c r="I5" s="525"/>
      <c r="J5" s="525"/>
    </row>
    <row r="6" spans="2:10" s="4" customFormat="1" ht="15" customHeight="1">
      <c r="B6" s="527"/>
      <c r="C6" s="526"/>
      <c r="D6" s="526"/>
      <c r="E6" s="526"/>
      <c r="F6" s="526"/>
      <c r="G6" s="528"/>
      <c r="H6" s="525"/>
      <c r="I6" s="525"/>
      <c r="J6" s="525"/>
    </row>
    <row r="7" spans="2:10" s="4" customFormat="1" ht="74.25" customHeight="1">
      <c r="B7" s="1063" t="s">
        <v>681</v>
      </c>
      <c r="C7" s="1064"/>
      <c r="D7" s="1064"/>
      <c r="E7" s="1064"/>
      <c r="F7" s="1064"/>
      <c r="G7" s="1065"/>
      <c r="H7" s="525"/>
      <c r="I7" s="525"/>
      <c r="J7" s="525"/>
    </row>
    <row r="8" spans="2:7" s="4" customFormat="1" ht="18" customHeight="1">
      <c r="B8" s="529"/>
      <c r="C8" s="1"/>
      <c r="D8" s="1"/>
      <c r="E8" s="1"/>
      <c r="F8" s="1"/>
      <c r="G8" s="530"/>
    </row>
    <row r="9" spans="2:10" s="4" customFormat="1" ht="174" customHeight="1" thickBot="1">
      <c r="B9" s="1066" t="s">
        <v>266</v>
      </c>
      <c r="C9" s="1067"/>
      <c r="D9" s="1067"/>
      <c r="E9" s="1067"/>
      <c r="F9" s="1067"/>
      <c r="G9" s="1068"/>
      <c r="H9" s="525"/>
      <c r="I9" s="525"/>
      <c r="J9" s="525"/>
    </row>
    <row r="10" spans="2:7" s="4" customFormat="1" ht="18" customHeight="1" thickTop="1">
      <c r="B10" s="1"/>
      <c r="G10" s="1"/>
    </row>
    <row r="11" spans="1:7" s="4" customFormat="1" ht="18" customHeight="1" thickBot="1">
      <c r="A11"/>
      <c r="C11" s="38"/>
      <c r="D11" s="38"/>
      <c r="E11" s="148"/>
      <c r="F11" s="148"/>
      <c r="G11" s="148"/>
    </row>
    <row r="12" spans="1:7" s="4" customFormat="1" ht="27" customHeight="1" thickTop="1">
      <c r="A12"/>
      <c r="B12" s="504" t="s">
        <v>307</v>
      </c>
      <c r="C12" s="495"/>
      <c r="D12" s="495"/>
      <c r="E12" s="501"/>
      <c r="F12" s="148"/>
      <c r="G12" s="148"/>
    </row>
    <row r="13" spans="1:7" s="4" customFormat="1" ht="18" customHeight="1">
      <c r="A13"/>
      <c r="B13" s="943" t="s">
        <v>557</v>
      </c>
      <c r="C13" s="944"/>
      <c r="D13" s="160"/>
      <c r="E13" s="502"/>
      <c r="F13" s="148"/>
      <c r="G13" s="148"/>
    </row>
    <row r="14" spans="1:7" s="4" customFormat="1" ht="18" customHeight="1">
      <c r="A14"/>
      <c r="B14" s="943" t="s">
        <v>393</v>
      </c>
      <c r="C14" s="944"/>
      <c r="D14" s="161"/>
      <c r="E14" s="506"/>
      <c r="F14" s="148"/>
      <c r="G14" s="148"/>
    </row>
    <row r="15" spans="1:7" s="4" customFormat="1" ht="18" customHeight="1">
      <c r="A15"/>
      <c r="B15" s="943" t="s">
        <v>649</v>
      </c>
      <c r="C15" s="944"/>
      <c r="D15" s="162"/>
      <c r="E15" s="502"/>
      <c r="F15" s="148"/>
      <c r="G15" s="148"/>
    </row>
    <row r="16" spans="1:7" s="4" customFormat="1" ht="18" customHeight="1">
      <c r="A16"/>
      <c r="B16" s="943" t="s">
        <v>399</v>
      </c>
      <c r="C16" s="944"/>
      <c r="D16" s="163"/>
      <c r="E16" s="502"/>
      <c r="F16" s="148"/>
      <c r="G16" s="148"/>
    </row>
    <row r="17" spans="1:18" s="4" customFormat="1" ht="18" customHeight="1" thickBot="1">
      <c r="A17"/>
      <c r="B17" s="505"/>
      <c r="C17" s="465"/>
      <c r="D17" s="465"/>
      <c r="E17" s="507"/>
      <c r="F17" s="159"/>
      <c r="G17" s="167"/>
      <c r="H17" s="1"/>
      <c r="I17" s="1"/>
      <c r="J17" s="1"/>
      <c r="K17" s="1"/>
      <c r="L17" s="1"/>
      <c r="M17" s="1"/>
      <c r="N17" s="1"/>
      <c r="O17" s="1"/>
      <c r="P17" s="1"/>
      <c r="Q17" s="1"/>
      <c r="R17" s="1"/>
    </row>
    <row r="18" ht="17.25" customHeight="1" thickTop="1"/>
    <row r="19" ht="13.5" thickBot="1"/>
    <row r="20" spans="2:16" s="4" customFormat="1" ht="34.5" customHeight="1" thickTop="1">
      <c r="B20" s="54"/>
      <c r="C20" s="490" t="s">
        <v>263</v>
      </c>
      <c r="D20" s="150"/>
      <c r="E20" s="150"/>
      <c r="F20" s="150"/>
      <c r="G20" s="55"/>
      <c r="H20" s="55"/>
      <c r="I20" s="55"/>
      <c r="J20" s="55"/>
      <c r="K20" s="55"/>
      <c r="L20" s="55"/>
      <c r="M20" s="55"/>
      <c r="N20" s="56"/>
      <c r="O20" s="1"/>
      <c r="P20" s="1"/>
    </row>
    <row r="21" spans="2:16" s="4" customFormat="1" ht="18" customHeight="1">
      <c r="B21" s="57"/>
      <c r="C21" s="65"/>
      <c r="D21" s="151"/>
      <c r="E21" s="952" t="s">
        <v>507</v>
      </c>
      <c r="F21" s="1023"/>
      <c r="G21" s="952" t="s">
        <v>522</v>
      </c>
      <c r="H21" s="1023"/>
      <c r="I21" s="952" t="s">
        <v>523</v>
      </c>
      <c r="J21" s="1023"/>
      <c r="K21" s="478"/>
      <c r="L21" s="65"/>
      <c r="M21" s="65"/>
      <c r="N21" s="58"/>
      <c r="O21" s="1"/>
      <c r="P21" s="1"/>
    </row>
    <row r="22" spans="2:16" s="4" customFormat="1" ht="18" customHeight="1">
      <c r="B22" s="57"/>
      <c r="C22" s="65"/>
      <c r="D22" s="151"/>
      <c r="E22" s="164" t="s">
        <v>400</v>
      </c>
      <c r="F22" s="164" t="s">
        <v>401</v>
      </c>
      <c r="G22" s="3" t="s">
        <v>550</v>
      </c>
      <c r="H22" s="127" t="s">
        <v>402</v>
      </c>
      <c r="I22" s="128" t="s">
        <v>403</v>
      </c>
      <c r="J22" s="129" t="s">
        <v>406</v>
      </c>
      <c r="K22" s="556"/>
      <c r="L22" s="65"/>
      <c r="M22" s="65"/>
      <c r="N22" s="58"/>
      <c r="O22" s="1"/>
      <c r="P22" s="1"/>
    </row>
    <row r="23" spans="2:16" s="4" customFormat="1" ht="84.75" customHeight="1">
      <c r="B23" s="67"/>
      <c r="C23" s="135"/>
      <c r="D23" s="152"/>
      <c r="E23" s="165" t="s">
        <v>551</v>
      </c>
      <c r="F23" s="165" t="s">
        <v>227</v>
      </c>
      <c r="G23" s="351" t="s">
        <v>712</v>
      </c>
      <c r="H23" s="5" t="s">
        <v>337</v>
      </c>
      <c r="I23" s="351" t="s">
        <v>338</v>
      </c>
      <c r="J23" s="352" t="s">
        <v>682</v>
      </c>
      <c r="K23" s="479"/>
      <c r="L23" s="65"/>
      <c r="M23" s="65"/>
      <c r="N23" s="58"/>
      <c r="O23" s="1"/>
      <c r="P23" s="1"/>
    </row>
    <row r="24" spans="2:16" s="4" customFormat="1" ht="18" customHeight="1">
      <c r="B24" s="57"/>
      <c r="C24" s="65"/>
      <c r="D24" s="151"/>
      <c r="E24" s="166"/>
      <c r="F24" s="166"/>
      <c r="G24" s="6"/>
      <c r="H24" s="6"/>
      <c r="I24" s="8" t="s">
        <v>786</v>
      </c>
      <c r="J24" s="136" t="s">
        <v>683</v>
      </c>
      <c r="K24" s="479"/>
      <c r="L24" s="65"/>
      <c r="M24" s="65"/>
      <c r="N24" s="58"/>
      <c r="O24" s="1"/>
      <c r="P24" s="1"/>
    </row>
    <row r="25" spans="2:16" s="4" customFormat="1" ht="12.75">
      <c r="B25" s="57"/>
      <c r="C25" s="253" t="s">
        <v>671</v>
      </c>
      <c r="D25" s="254" t="s">
        <v>672</v>
      </c>
      <c r="E25" s="605">
        <v>500000</v>
      </c>
      <c r="F25" s="84" t="s">
        <v>309</v>
      </c>
      <c r="G25" s="628">
        <v>112</v>
      </c>
      <c r="H25" s="353" t="s">
        <v>310</v>
      </c>
      <c r="I25" s="137">
        <f>E25*G25</f>
        <v>56000000</v>
      </c>
      <c r="J25" s="189">
        <f>I25/1000</f>
        <v>56000</v>
      </c>
      <c r="K25" s="557"/>
      <c r="L25" s="65"/>
      <c r="M25" s="65"/>
      <c r="N25" s="58"/>
      <c r="O25" s="1"/>
      <c r="P25" s="1"/>
    </row>
    <row r="26" spans="2:16" s="4" customFormat="1" ht="18" customHeight="1">
      <c r="B26" s="82"/>
      <c r="C26" s="41" t="s">
        <v>417</v>
      </c>
      <c r="D26" s="154" t="s">
        <v>415</v>
      </c>
      <c r="E26" s="12"/>
      <c r="F26" s="12"/>
      <c r="G26" s="11"/>
      <c r="H26" s="36"/>
      <c r="I26" s="138"/>
      <c r="J26" s="12"/>
      <c r="K26" s="558"/>
      <c r="L26" s="65"/>
      <c r="M26" s="65"/>
      <c r="N26" s="58"/>
      <c r="O26" s="1"/>
      <c r="P26" s="1"/>
    </row>
    <row r="27" spans="2:16" s="4" customFormat="1" ht="18" customHeight="1">
      <c r="B27" s="57"/>
      <c r="C27" s="748"/>
      <c r="D27" s="749"/>
      <c r="E27" s="718"/>
      <c r="F27" s="719"/>
      <c r="G27" s="720"/>
      <c r="H27" s="745"/>
      <c r="I27" s="139">
        <f>IF(E27="","",E27*G27)</f>
      </c>
      <c r="J27" s="139">
        <f>IF(ISERROR(I27/1000),"",I27/1000)</f>
      </c>
      <c r="K27" s="266"/>
      <c r="L27" s="65"/>
      <c r="M27" s="65"/>
      <c r="N27" s="58"/>
      <c r="O27" s="1"/>
      <c r="P27" s="1"/>
    </row>
    <row r="28" spans="2:16" s="4" customFormat="1" ht="18" customHeight="1">
      <c r="B28" s="57"/>
      <c r="C28" s="748"/>
      <c r="D28" s="749"/>
      <c r="E28" s="718"/>
      <c r="F28" s="719"/>
      <c r="G28" s="720"/>
      <c r="H28" s="745"/>
      <c r="I28" s="139">
        <f aca="true" t="shared" si="0" ref="I28:I33">IF(E28="","",E28*G28)</f>
      </c>
      <c r="J28" s="139">
        <f aca="true" t="shared" si="1" ref="J28:J33">IF(ISERROR(I28/1000),"",I28/1000)</f>
      </c>
      <c r="K28" s="266"/>
      <c r="L28" s="65"/>
      <c r="M28" s="65"/>
      <c r="N28" s="58"/>
      <c r="O28" s="1"/>
      <c r="P28" s="1"/>
    </row>
    <row r="29" spans="2:16" s="4" customFormat="1" ht="18" customHeight="1">
      <c r="B29" s="57"/>
      <c r="C29" s="748"/>
      <c r="D29" s="749"/>
      <c r="E29" s="718"/>
      <c r="F29" s="719"/>
      <c r="G29" s="720"/>
      <c r="H29" s="745"/>
      <c r="I29" s="139">
        <f t="shared" si="0"/>
      </c>
      <c r="J29" s="139">
        <f t="shared" si="1"/>
      </c>
      <c r="K29" s="266"/>
      <c r="L29" s="65"/>
      <c r="M29" s="65"/>
      <c r="N29" s="58"/>
      <c r="O29" s="1"/>
      <c r="P29" s="1"/>
    </row>
    <row r="30" spans="2:16" s="4" customFormat="1" ht="18" customHeight="1">
      <c r="B30" s="57"/>
      <c r="C30" s="748"/>
      <c r="D30" s="749"/>
      <c r="E30" s="718"/>
      <c r="F30" s="719"/>
      <c r="G30" s="720"/>
      <c r="H30" s="745"/>
      <c r="I30" s="139">
        <f t="shared" si="0"/>
      </c>
      <c r="J30" s="139">
        <f t="shared" si="1"/>
      </c>
      <c r="K30" s="266"/>
      <c r="L30" s="65"/>
      <c r="M30" s="65"/>
      <c r="N30" s="58"/>
      <c r="O30" s="1"/>
      <c r="P30" s="1"/>
    </row>
    <row r="31" spans="2:18" s="4" customFormat="1" ht="18" customHeight="1">
      <c r="B31" s="57"/>
      <c r="C31" s="748"/>
      <c r="D31" s="749"/>
      <c r="E31" s="718"/>
      <c r="F31" s="719"/>
      <c r="G31" s="720"/>
      <c r="H31" s="745"/>
      <c r="I31" s="139">
        <f t="shared" si="0"/>
      </c>
      <c r="J31" s="139">
        <f t="shared" si="1"/>
      </c>
      <c r="K31" s="266"/>
      <c r="L31" s="65"/>
      <c r="M31" s="65"/>
      <c r="N31" s="58"/>
      <c r="O31" s="1"/>
      <c r="P31" s="1"/>
      <c r="Q31" s="1"/>
      <c r="R31" s="1"/>
    </row>
    <row r="32" spans="2:18" s="4" customFormat="1" ht="18" customHeight="1">
      <c r="B32" s="57"/>
      <c r="C32" s="748"/>
      <c r="D32" s="751"/>
      <c r="E32" s="718"/>
      <c r="F32" s="719"/>
      <c r="G32" s="720"/>
      <c r="H32" s="745"/>
      <c r="I32" s="139">
        <f t="shared" si="0"/>
      </c>
      <c r="J32" s="139">
        <f t="shared" si="1"/>
      </c>
      <c r="K32" s="266"/>
      <c r="L32" s="65"/>
      <c r="M32" s="65"/>
      <c r="N32" s="58"/>
      <c r="O32" s="1"/>
      <c r="P32" s="1"/>
      <c r="Q32" s="1"/>
      <c r="R32" s="1"/>
    </row>
    <row r="33" spans="2:14" s="4" customFormat="1" ht="18" customHeight="1">
      <c r="B33" s="57"/>
      <c r="C33" s="748"/>
      <c r="D33" s="749"/>
      <c r="E33" s="718"/>
      <c r="F33" s="719"/>
      <c r="G33" s="720"/>
      <c r="H33" s="745"/>
      <c r="I33" s="139">
        <f t="shared" si="0"/>
      </c>
      <c r="J33" s="139">
        <f t="shared" si="1"/>
      </c>
      <c r="K33" s="266"/>
      <c r="L33" s="65"/>
      <c r="M33" s="65"/>
      <c r="N33" s="58"/>
    </row>
    <row r="34" spans="2:14" s="4" customFormat="1" ht="18" customHeight="1">
      <c r="B34" s="78"/>
      <c r="C34" s="79"/>
      <c r="D34" s="155"/>
      <c r="E34" s="155"/>
      <c r="F34" s="155"/>
      <c r="G34" s="79"/>
      <c r="H34" s="79"/>
      <c r="I34" s="140"/>
      <c r="J34" s="140"/>
      <c r="K34" s="140"/>
      <c r="L34" s="65"/>
      <c r="M34" s="65"/>
      <c r="N34" s="58"/>
    </row>
    <row r="35" spans="2:14" s="4" customFormat="1" ht="18" customHeight="1">
      <c r="B35" s="78"/>
      <c r="C35" s="79"/>
      <c r="D35" s="65"/>
      <c r="E35" s="356"/>
      <c r="F35" s="865"/>
      <c r="G35" s="996" t="s">
        <v>685</v>
      </c>
      <c r="H35" s="1069"/>
      <c r="I35" s="1070"/>
      <c r="J35" s="354">
        <f>SUM(J27:J33)</f>
        <v>0</v>
      </c>
      <c r="K35" s="593" t="s">
        <v>684</v>
      </c>
      <c r="L35" s="65"/>
      <c r="M35" s="65"/>
      <c r="N35" s="58"/>
    </row>
    <row r="36" spans="2:14" s="4" customFormat="1" ht="18" customHeight="1">
      <c r="B36" s="78"/>
      <c r="C36" s="1071" t="s">
        <v>686</v>
      </c>
      <c r="D36" s="972"/>
      <c r="E36" s="992"/>
      <c r="F36" s="992"/>
      <c r="G36" s="972"/>
      <c r="H36" s="972"/>
      <c r="I36" s="973"/>
      <c r="J36" s="746"/>
      <c r="K36" s="593" t="s">
        <v>684</v>
      </c>
      <c r="L36" s="65"/>
      <c r="M36" s="65"/>
      <c r="N36" s="58"/>
    </row>
    <row r="37" spans="1:14" s="4" customFormat="1" ht="18" customHeight="1">
      <c r="A37" s="355"/>
      <c r="B37" s="78"/>
      <c r="C37" s="79"/>
      <c r="D37" s="356"/>
      <c r="E37" s="357"/>
      <c r="F37" s="357"/>
      <c r="G37" s="357"/>
      <c r="H37" s="357"/>
      <c r="I37" s="357"/>
      <c r="J37" s="358"/>
      <c r="K37" s="65"/>
      <c r="L37" s="65"/>
      <c r="M37" s="65"/>
      <c r="N37" s="58"/>
    </row>
    <row r="38" spans="1:14" s="4" customFormat="1" ht="49.5" customHeight="1">
      <c r="A38" s="355"/>
      <c r="B38" s="78"/>
      <c r="C38" s="629" t="s">
        <v>311</v>
      </c>
      <c r="D38" s="1054" t="s">
        <v>713</v>
      </c>
      <c r="E38" s="1074"/>
      <c r="F38" s="1074"/>
      <c r="G38" s="1074"/>
      <c r="H38" s="1074"/>
      <c r="I38" s="1074"/>
      <c r="J38" s="1074"/>
      <c r="K38" s="1074"/>
      <c r="L38" s="1074"/>
      <c r="M38" s="1074"/>
      <c r="N38" s="58"/>
    </row>
    <row r="39" spans="1:14" s="4" customFormat="1" ht="18" customHeight="1">
      <c r="A39" s="355"/>
      <c r="B39" s="78"/>
      <c r="C39" s="79"/>
      <c r="D39" s="535" t="s">
        <v>317</v>
      </c>
      <c r="E39" s="357"/>
      <c r="F39" s="357"/>
      <c r="G39" s="357"/>
      <c r="H39" s="357"/>
      <c r="I39" s="357"/>
      <c r="J39" s="173"/>
      <c r="K39" s="65"/>
      <c r="L39" s="65"/>
      <c r="M39" s="65"/>
      <c r="N39" s="58"/>
    </row>
    <row r="40" spans="1:14" s="4" customFormat="1" ht="18" customHeight="1" thickBot="1">
      <c r="A40" s="355"/>
      <c r="B40" s="193"/>
      <c r="C40" s="194"/>
      <c r="D40" s="359"/>
      <c r="E40" s="360"/>
      <c r="F40" s="360"/>
      <c r="G40" s="360"/>
      <c r="H40" s="360"/>
      <c r="I40" s="360"/>
      <c r="J40" s="361"/>
      <c r="K40" s="81"/>
      <c r="L40" s="81"/>
      <c r="M40" s="81"/>
      <c r="N40" s="77"/>
    </row>
    <row r="41" ht="13.5" thickTop="1"/>
    <row r="46" ht="12.75" customHeight="1"/>
    <row r="47" ht="13.5" thickBot="1"/>
    <row r="48" spans="2:17" s="4" customFormat="1" ht="34.5" customHeight="1" thickTop="1">
      <c r="B48" s="54"/>
      <c r="C48" s="490" t="s">
        <v>264</v>
      </c>
      <c r="D48" s="150"/>
      <c r="E48" s="150"/>
      <c r="F48" s="150"/>
      <c r="G48" s="55"/>
      <c r="H48" s="55"/>
      <c r="I48" s="55"/>
      <c r="J48" s="55"/>
      <c r="K48" s="55"/>
      <c r="L48" s="55"/>
      <c r="M48" s="56"/>
      <c r="N48" s="1"/>
      <c r="O48" s="1"/>
      <c r="P48" s="1"/>
      <c r="Q48" s="1"/>
    </row>
    <row r="49" spans="2:17" s="4" customFormat="1" ht="115.5" customHeight="1">
      <c r="B49" s="57"/>
      <c r="C49" s="1057" t="s">
        <v>265</v>
      </c>
      <c r="D49" s="1058"/>
      <c r="E49" s="1058"/>
      <c r="F49" s="1058"/>
      <c r="G49" s="1059"/>
      <c r="H49" s="224"/>
      <c r="I49" s="224"/>
      <c r="J49" s="65"/>
      <c r="K49" s="65"/>
      <c r="L49" s="65"/>
      <c r="M49" s="58"/>
      <c r="N49" s="1"/>
      <c r="O49" s="1"/>
      <c r="P49" s="1"/>
      <c r="Q49" s="1"/>
    </row>
    <row r="50" spans="2:17" s="4" customFormat="1" ht="34.5" customHeight="1">
      <c r="B50" s="57"/>
      <c r="C50" s="1072"/>
      <c r="D50" s="1073"/>
      <c r="E50" s="1073"/>
      <c r="F50" s="1073"/>
      <c r="G50" s="1073"/>
      <c r="H50" s="1073"/>
      <c r="I50" s="1073"/>
      <c r="J50" s="65"/>
      <c r="K50" s="65"/>
      <c r="L50" s="65"/>
      <c r="M50" s="58"/>
      <c r="N50" s="1"/>
      <c r="O50" s="1"/>
      <c r="P50" s="1"/>
      <c r="Q50" s="1"/>
    </row>
    <row r="51" spans="2:17" s="4" customFormat="1" ht="18" customHeight="1">
      <c r="B51" s="57"/>
      <c r="C51" s="65"/>
      <c r="D51" s="151"/>
      <c r="E51" s="952" t="s">
        <v>507</v>
      </c>
      <c r="F51" s="1023"/>
      <c r="G51" s="952" t="s">
        <v>522</v>
      </c>
      <c r="H51" s="1023"/>
      <c r="I51" s="952" t="s">
        <v>523</v>
      </c>
      <c r="J51" s="1023"/>
      <c r="K51" s="478"/>
      <c r="L51" s="478"/>
      <c r="M51" s="58"/>
      <c r="N51" s="1"/>
      <c r="O51" s="1"/>
      <c r="P51" s="1"/>
      <c r="Q51" s="1"/>
    </row>
    <row r="52" spans="2:17" s="4" customFormat="1" ht="18" customHeight="1">
      <c r="B52" s="57"/>
      <c r="C52" s="65"/>
      <c r="D52" s="151"/>
      <c r="E52" s="164" t="s">
        <v>400</v>
      </c>
      <c r="F52" s="164" t="s">
        <v>401</v>
      </c>
      <c r="G52" s="3" t="s">
        <v>550</v>
      </c>
      <c r="H52" s="127" t="s">
        <v>402</v>
      </c>
      <c r="I52" s="128" t="s">
        <v>403</v>
      </c>
      <c r="J52" s="129" t="s">
        <v>406</v>
      </c>
      <c r="K52" s="556"/>
      <c r="L52" s="556"/>
      <c r="M52" s="58"/>
      <c r="N52" s="1"/>
      <c r="O52" s="1"/>
      <c r="P52" s="1"/>
      <c r="Q52" s="1"/>
    </row>
    <row r="53" spans="2:17" s="4" customFormat="1" ht="84.75" customHeight="1">
      <c r="B53" s="67"/>
      <c r="C53" s="135"/>
      <c r="D53" s="152"/>
      <c r="E53" s="165" t="s">
        <v>551</v>
      </c>
      <c r="F53" s="165" t="s">
        <v>227</v>
      </c>
      <c r="G53" s="351" t="s">
        <v>715</v>
      </c>
      <c r="H53" s="5" t="s">
        <v>337</v>
      </c>
      <c r="I53" s="351" t="s">
        <v>338</v>
      </c>
      <c r="J53" s="352" t="s">
        <v>682</v>
      </c>
      <c r="K53" s="479"/>
      <c r="L53" s="479"/>
      <c r="M53" s="58"/>
      <c r="N53" s="1"/>
      <c r="O53" s="1"/>
      <c r="P53" s="1"/>
      <c r="Q53" s="1"/>
    </row>
    <row r="54" spans="2:17" s="4" customFormat="1" ht="18" customHeight="1">
      <c r="B54" s="57"/>
      <c r="C54" s="65"/>
      <c r="D54" s="151"/>
      <c r="E54" s="166"/>
      <c r="F54" s="166"/>
      <c r="G54" s="6"/>
      <c r="H54" s="6"/>
      <c r="I54" s="8" t="s">
        <v>786</v>
      </c>
      <c r="J54" s="136" t="s">
        <v>683</v>
      </c>
      <c r="K54" s="479"/>
      <c r="L54" s="479"/>
      <c r="M54" s="58"/>
      <c r="N54" s="1"/>
      <c r="O54" s="1"/>
      <c r="P54" s="1"/>
      <c r="Q54" s="1"/>
    </row>
    <row r="55" spans="2:17" s="4" customFormat="1" ht="12.75">
      <c r="B55" s="57"/>
      <c r="C55" s="253" t="s">
        <v>308</v>
      </c>
      <c r="D55" s="254" t="s">
        <v>673</v>
      </c>
      <c r="E55" s="605">
        <v>100000</v>
      </c>
      <c r="F55" s="84" t="s">
        <v>309</v>
      </c>
      <c r="G55" s="656">
        <v>95.3</v>
      </c>
      <c r="H55" s="353" t="s">
        <v>310</v>
      </c>
      <c r="I55" s="137">
        <f>E55*G55</f>
        <v>9530000</v>
      </c>
      <c r="J55" s="137">
        <f>I55/1000</f>
        <v>9530</v>
      </c>
      <c r="K55" s="557"/>
      <c r="L55" s="557"/>
      <c r="M55" s="58"/>
      <c r="N55" s="1"/>
      <c r="O55" s="1"/>
      <c r="P55" s="1"/>
      <c r="Q55" s="1"/>
    </row>
    <row r="56" spans="2:17" s="4" customFormat="1" ht="18" customHeight="1">
      <c r="B56" s="82"/>
      <c r="C56" s="41" t="s">
        <v>417</v>
      </c>
      <c r="D56" s="154" t="s">
        <v>415</v>
      </c>
      <c r="E56" s="12"/>
      <c r="F56" s="12"/>
      <c r="G56" s="11"/>
      <c r="H56" s="36"/>
      <c r="I56" s="138"/>
      <c r="J56" s="12"/>
      <c r="K56" s="558"/>
      <c r="L56" s="558"/>
      <c r="M56" s="58"/>
      <c r="N56" s="1"/>
      <c r="O56" s="1"/>
      <c r="P56" s="1"/>
      <c r="Q56" s="1"/>
    </row>
    <row r="57" spans="2:17" s="4" customFormat="1" ht="18" customHeight="1">
      <c r="B57" s="57"/>
      <c r="C57" s="748"/>
      <c r="D57" s="749"/>
      <c r="E57" s="718"/>
      <c r="F57" s="719"/>
      <c r="G57" s="720"/>
      <c r="H57" s="745"/>
      <c r="I57" s="139">
        <f>IF(E57="","",E57*G57)</f>
      </c>
      <c r="J57" s="139">
        <f>IF(ISERROR(I57/1000),"",I57/1000)</f>
      </c>
      <c r="K57" s="266"/>
      <c r="L57" s="266"/>
      <c r="M57" s="58"/>
      <c r="N57" s="1"/>
      <c r="O57" s="1"/>
      <c r="P57" s="1"/>
      <c r="Q57" s="1"/>
    </row>
    <row r="58" spans="2:17" s="4" customFormat="1" ht="18" customHeight="1">
      <c r="B58" s="57"/>
      <c r="C58" s="748"/>
      <c r="D58" s="749"/>
      <c r="E58" s="718"/>
      <c r="F58" s="719"/>
      <c r="G58" s="720"/>
      <c r="H58" s="745"/>
      <c r="I58" s="139">
        <f aca="true" t="shared" si="2" ref="I58:I63">IF(E58="","",E58*G58)</f>
      </c>
      <c r="J58" s="139">
        <f aca="true" t="shared" si="3" ref="J58:J63">IF(ISERROR(I58/1000),"",I58/1000)</f>
      </c>
      <c r="K58" s="266"/>
      <c r="L58" s="266"/>
      <c r="M58" s="58"/>
      <c r="N58" s="1"/>
      <c r="O58" s="1"/>
      <c r="P58" s="1"/>
      <c r="Q58" s="1"/>
    </row>
    <row r="59" spans="2:17" s="4" customFormat="1" ht="18" customHeight="1">
      <c r="B59" s="57"/>
      <c r="C59" s="748"/>
      <c r="D59" s="749"/>
      <c r="E59" s="718"/>
      <c r="F59" s="719"/>
      <c r="G59" s="720"/>
      <c r="H59" s="745"/>
      <c r="I59" s="139">
        <f t="shared" si="2"/>
      </c>
      <c r="J59" s="139">
        <f t="shared" si="3"/>
      </c>
      <c r="K59" s="266"/>
      <c r="L59" s="266"/>
      <c r="M59" s="58"/>
      <c r="N59" s="1"/>
      <c r="O59" s="1"/>
      <c r="P59" s="1"/>
      <c r="Q59" s="1"/>
    </row>
    <row r="60" spans="2:17" s="4" customFormat="1" ht="18" customHeight="1">
      <c r="B60" s="57"/>
      <c r="C60" s="748"/>
      <c r="D60" s="749"/>
      <c r="E60" s="718"/>
      <c r="F60" s="719"/>
      <c r="G60" s="720"/>
      <c r="H60" s="745"/>
      <c r="I60" s="139">
        <f t="shared" si="2"/>
      </c>
      <c r="J60" s="139">
        <f t="shared" si="3"/>
      </c>
      <c r="K60" s="266"/>
      <c r="L60" s="266"/>
      <c r="M60" s="58"/>
      <c r="N60" s="1"/>
      <c r="O60" s="1"/>
      <c r="P60" s="1"/>
      <c r="Q60" s="1"/>
    </row>
    <row r="61" spans="2:19" s="4" customFormat="1" ht="18" customHeight="1">
      <c r="B61" s="57"/>
      <c r="C61" s="748"/>
      <c r="D61" s="749"/>
      <c r="E61" s="718"/>
      <c r="F61" s="719"/>
      <c r="G61" s="720"/>
      <c r="H61" s="745"/>
      <c r="I61" s="139">
        <f t="shared" si="2"/>
      </c>
      <c r="J61" s="139">
        <f t="shared" si="3"/>
      </c>
      <c r="K61" s="266"/>
      <c r="L61" s="266"/>
      <c r="M61" s="58"/>
      <c r="N61" s="1"/>
      <c r="O61" s="1"/>
      <c r="P61" s="1"/>
      <c r="Q61" s="1"/>
      <c r="R61" s="1"/>
      <c r="S61" s="1"/>
    </row>
    <row r="62" spans="2:19" s="4" customFormat="1" ht="18" customHeight="1">
      <c r="B62" s="57"/>
      <c r="C62" s="748"/>
      <c r="D62" s="751"/>
      <c r="E62" s="718"/>
      <c r="F62" s="719"/>
      <c r="G62" s="720"/>
      <c r="H62" s="745"/>
      <c r="I62" s="139">
        <f t="shared" si="2"/>
      </c>
      <c r="J62" s="139">
        <f t="shared" si="3"/>
      </c>
      <c r="K62" s="266"/>
      <c r="L62" s="266"/>
      <c r="M62" s="58"/>
      <c r="N62" s="1"/>
      <c r="O62" s="1"/>
      <c r="P62" s="1"/>
      <c r="Q62" s="1"/>
      <c r="R62" s="1"/>
      <c r="S62" s="1"/>
    </row>
    <row r="63" spans="2:13" s="4" customFormat="1" ht="18" customHeight="1">
      <c r="B63" s="57"/>
      <c r="C63" s="748"/>
      <c r="D63" s="749"/>
      <c r="E63" s="718"/>
      <c r="F63" s="719"/>
      <c r="G63" s="720"/>
      <c r="H63" s="745"/>
      <c r="I63" s="139">
        <f t="shared" si="2"/>
      </c>
      <c r="J63" s="139">
        <f t="shared" si="3"/>
      </c>
      <c r="K63" s="266"/>
      <c r="L63" s="266"/>
      <c r="M63" s="58"/>
    </row>
    <row r="64" spans="2:13" s="4" customFormat="1" ht="18" customHeight="1">
      <c r="B64" s="78"/>
      <c r="C64" s="79"/>
      <c r="D64" s="155"/>
      <c r="E64" s="155"/>
      <c r="F64" s="155"/>
      <c r="G64" s="79"/>
      <c r="H64" s="79"/>
      <c r="I64" s="140"/>
      <c r="J64" s="140"/>
      <c r="K64" s="140"/>
      <c r="L64" s="140"/>
      <c r="M64" s="58"/>
    </row>
    <row r="65" spans="2:13" s="4" customFormat="1" ht="18" customHeight="1">
      <c r="B65" s="78"/>
      <c r="C65" s="79"/>
      <c r="D65" s="224"/>
      <c r="E65" s="996" t="s">
        <v>718</v>
      </c>
      <c r="F65" s="972"/>
      <c r="G65" s="972"/>
      <c r="H65" s="972"/>
      <c r="I65" s="973"/>
      <c r="J65" s="354">
        <f>SUM(J57:J63)</f>
        <v>0</v>
      </c>
      <c r="K65" s="593" t="s">
        <v>684</v>
      </c>
      <c r="L65" s="65"/>
      <c r="M65" s="58"/>
    </row>
    <row r="66" spans="2:13" s="4" customFormat="1" ht="18" customHeight="1">
      <c r="B66" s="78"/>
      <c r="C66" s="996" t="s">
        <v>686</v>
      </c>
      <c r="D66" s="972"/>
      <c r="E66" s="972"/>
      <c r="F66" s="972"/>
      <c r="G66" s="972"/>
      <c r="H66" s="972"/>
      <c r="I66" s="973"/>
      <c r="J66" s="747"/>
      <c r="K66" s="593" t="s">
        <v>684</v>
      </c>
      <c r="L66" s="65"/>
      <c r="M66" s="58"/>
    </row>
    <row r="67" spans="1:13" s="4" customFormat="1" ht="18" customHeight="1">
      <c r="A67" s="355"/>
      <c r="B67" s="78"/>
      <c r="C67" s="79"/>
      <c r="D67" s="356"/>
      <c r="E67" s="357"/>
      <c r="F67" s="357"/>
      <c r="G67" s="357"/>
      <c r="H67" s="357"/>
      <c r="I67" s="357"/>
      <c r="J67" s="358"/>
      <c r="K67" s="65"/>
      <c r="L67" s="65"/>
      <c r="M67" s="58"/>
    </row>
    <row r="68" spans="1:13" s="4" customFormat="1" ht="49.5" customHeight="1">
      <c r="A68" s="355"/>
      <c r="B68" s="78"/>
      <c r="C68" s="629" t="s">
        <v>311</v>
      </c>
      <c r="D68" s="1054" t="s">
        <v>716</v>
      </c>
      <c r="E68" s="1055"/>
      <c r="F68" s="1055"/>
      <c r="G68" s="1055"/>
      <c r="H68" s="1055"/>
      <c r="I68" s="1055"/>
      <c r="J68" s="1055"/>
      <c r="K68" s="1055"/>
      <c r="L68" s="1055"/>
      <c r="M68" s="1056"/>
    </row>
    <row r="69" spans="1:13" s="4" customFormat="1" ht="18" customHeight="1">
      <c r="A69" s="355"/>
      <c r="B69" s="79"/>
      <c r="C69" s="79"/>
      <c r="D69" s="535" t="s">
        <v>822</v>
      </c>
      <c r="E69" s="357"/>
      <c r="F69" s="357"/>
      <c r="G69" s="357"/>
      <c r="H69" s="357"/>
      <c r="I69" s="357"/>
      <c r="J69" s="173"/>
      <c r="K69" s="65"/>
      <c r="L69" s="65"/>
      <c r="M69" s="58"/>
    </row>
    <row r="70" spans="1:13" s="4" customFormat="1" ht="18" customHeight="1" thickBot="1">
      <c r="A70" s="355"/>
      <c r="B70" s="193"/>
      <c r="C70" s="194"/>
      <c r="D70" s="359"/>
      <c r="E70" s="360"/>
      <c r="F70" s="360"/>
      <c r="G70" s="360"/>
      <c r="H70" s="360"/>
      <c r="I70" s="360"/>
      <c r="J70" s="361"/>
      <c r="K70" s="81"/>
      <c r="L70" s="81"/>
      <c r="M70" s="77"/>
    </row>
    <row r="71" ht="13.5" thickTop="1"/>
  </sheetData>
  <sheetProtection password="CD08" sheet="1" objects="1" scenarios="1"/>
  <mergeCells count="22">
    <mergeCell ref="I21:J21"/>
    <mergeCell ref="B14:C14"/>
    <mergeCell ref="B15:C15"/>
    <mergeCell ref="E21:F21"/>
    <mergeCell ref="G21:H21"/>
    <mergeCell ref="C66:I66"/>
    <mergeCell ref="G35:I35"/>
    <mergeCell ref="E65:I65"/>
    <mergeCell ref="C36:I36"/>
    <mergeCell ref="C50:I50"/>
    <mergeCell ref="E51:F51"/>
    <mergeCell ref="D38:M38"/>
    <mergeCell ref="D68:M68"/>
    <mergeCell ref="G51:H51"/>
    <mergeCell ref="I51:J51"/>
    <mergeCell ref="C49:G49"/>
    <mergeCell ref="B1:M1"/>
    <mergeCell ref="B5:G5"/>
    <mergeCell ref="B7:G7"/>
    <mergeCell ref="B9:G9"/>
    <mergeCell ref="B16:C16"/>
    <mergeCell ref="B13:C13"/>
  </mergeCells>
  <printOptions horizontalCentered="1"/>
  <pageMargins left="0.75" right="0.75" top="1" bottom="1" header="0.5" footer="0.5"/>
  <pageSetup fitToHeight="3" fitToWidth="1" horizontalDpi="600" verticalDpi="600" orientation="landscape" scale="54" r:id="rId1"/>
  <headerFooter alignWithMargins="0">
    <oddHeader>&amp;L&amp;D&amp;R&amp;F</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O120"/>
  <sheetViews>
    <sheetView zoomScalePageLayoutView="0" workbookViewId="0" topLeftCell="A1">
      <selection activeCell="A1" sqref="A1"/>
    </sheetView>
  </sheetViews>
  <sheetFormatPr defaultColWidth="9.140625" defaultRowHeight="12.75"/>
  <sheetData>
    <row r="1" s="881" customFormat="1" ht="12.75">
      <c r="A1" s="880" t="s">
        <v>191</v>
      </c>
    </row>
    <row r="2" ht="12.75">
      <c r="A2" s="21"/>
    </row>
    <row r="4" ht="12.75">
      <c r="A4" s="21" t="s">
        <v>169</v>
      </c>
    </row>
    <row r="5" ht="12.75">
      <c r="A5" t="s">
        <v>170</v>
      </c>
    </row>
    <row r="6" ht="12.75">
      <c r="A6" t="s">
        <v>171</v>
      </c>
    </row>
    <row r="7" ht="12.75">
      <c r="A7" t="s">
        <v>172</v>
      </c>
    </row>
    <row r="8" ht="12.75">
      <c r="A8" t="s">
        <v>207</v>
      </c>
    </row>
    <row r="10" ht="12.75">
      <c r="A10" s="21" t="s">
        <v>217</v>
      </c>
    </row>
    <row r="11" spans="1:14" ht="48" customHeight="1">
      <c r="A11" s="1077" t="s">
        <v>218</v>
      </c>
      <c r="B11" s="900"/>
      <c r="C11" s="900"/>
      <c r="D11" s="900"/>
      <c r="E11" s="900"/>
      <c r="F11" s="900"/>
      <c r="G11" s="900"/>
      <c r="H11" s="900"/>
      <c r="I11" s="900"/>
      <c r="J11" s="900"/>
      <c r="K11" s="900"/>
      <c r="L11" s="900"/>
      <c r="M11" s="900"/>
      <c r="N11" s="900"/>
    </row>
    <row r="13" ht="12.75">
      <c r="A13" s="21" t="s">
        <v>173</v>
      </c>
    </row>
    <row r="14" ht="12.75">
      <c r="A14" t="s">
        <v>174</v>
      </c>
    </row>
    <row r="15" ht="12.75">
      <c r="A15" t="s">
        <v>175</v>
      </c>
    </row>
    <row r="16" ht="12.75">
      <c r="A16" t="s">
        <v>176</v>
      </c>
    </row>
    <row r="17" ht="12.75">
      <c r="A17" t="s">
        <v>177</v>
      </c>
    </row>
    <row r="18" ht="12.75">
      <c r="A18" t="s">
        <v>178</v>
      </c>
    </row>
    <row r="19" ht="12.75">
      <c r="A19" t="s">
        <v>179</v>
      </c>
    </row>
    <row r="20" spans="1:13" ht="30.75" customHeight="1">
      <c r="A20" s="900" t="s">
        <v>431</v>
      </c>
      <c r="B20" s="900"/>
      <c r="C20" s="900"/>
      <c r="D20" s="900"/>
      <c r="E20" s="900"/>
      <c r="F20" s="900"/>
      <c r="G20" s="900"/>
      <c r="H20" s="900"/>
      <c r="I20" s="900"/>
      <c r="J20" s="900"/>
      <c r="K20" s="900"/>
      <c r="L20" s="900"/>
      <c r="M20" s="900"/>
    </row>
    <row r="22" ht="12.75">
      <c r="A22" s="21" t="s">
        <v>161</v>
      </c>
    </row>
    <row r="23" spans="1:15" ht="12.75">
      <c r="A23" s="900" t="s">
        <v>162</v>
      </c>
      <c r="B23" s="900"/>
      <c r="C23" s="900"/>
      <c r="D23" s="900"/>
      <c r="E23" s="900"/>
      <c r="F23" s="900"/>
      <c r="G23" s="900"/>
      <c r="H23" s="900"/>
      <c r="I23" s="900"/>
      <c r="J23" s="900"/>
      <c r="K23" s="900"/>
      <c r="L23" s="900"/>
      <c r="M23" s="900"/>
      <c r="N23" s="900"/>
      <c r="O23" s="900"/>
    </row>
    <row r="24" spans="1:15" ht="20.25" customHeight="1">
      <c r="A24" s="1077" t="s">
        <v>215</v>
      </c>
      <c r="B24" s="900"/>
      <c r="C24" s="900"/>
      <c r="D24" s="900"/>
      <c r="E24" s="900"/>
      <c r="F24" s="900"/>
      <c r="G24" s="900"/>
      <c r="H24" s="900"/>
      <c r="I24" s="900"/>
      <c r="J24" s="900"/>
      <c r="K24" s="900"/>
      <c r="L24" s="900"/>
      <c r="M24" s="900"/>
      <c r="N24" s="900"/>
      <c r="O24" s="791"/>
    </row>
    <row r="25" ht="12.75">
      <c r="A25" t="s">
        <v>163</v>
      </c>
    </row>
    <row r="26" ht="12.75">
      <c r="A26" t="s">
        <v>164</v>
      </c>
    </row>
    <row r="27" spans="1:14" ht="177" customHeight="1">
      <c r="A27" s="900" t="s">
        <v>168</v>
      </c>
      <c r="B27" s="900"/>
      <c r="C27" s="900"/>
      <c r="D27" s="900"/>
      <c r="E27" s="900"/>
      <c r="F27" s="900"/>
      <c r="G27" s="900"/>
      <c r="H27" s="900"/>
      <c r="I27" s="900"/>
      <c r="J27" s="900"/>
      <c r="K27" s="900"/>
      <c r="L27" s="900"/>
      <c r="M27" s="900"/>
      <c r="N27" s="900"/>
    </row>
    <row r="28" ht="12.75">
      <c r="A28" t="s">
        <v>165</v>
      </c>
    </row>
    <row r="29" ht="12.75">
      <c r="A29" t="s">
        <v>166</v>
      </c>
    </row>
    <row r="30" ht="12.75">
      <c r="A30" t="s">
        <v>167</v>
      </c>
    </row>
    <row r="31" ht="12.75">
      <c r="A31" t="s">
        <v>180</v>
      </c>
    </row>
    <row r="32" ht="12.75">
      <c r="A32" t="s">
        <v>181</v>
      </c>
    </row>
    <row r="33" ht="12.75">
      <c r="A33" t="s">
        <v>182</v>
      </c>
    </row>
    <row r="35" ht="12.75">
      <c r="A35" s="21" t="s">
        <v>203</v>
      </c>
    </row>
    <row r="36" ht="12.75">
      <c r="A36" t="s">
        <v>204</v>
      </c>
    </row>
    <row r="37" spans="1:14" ht="50.25" customHeight="1">
      <c r="A37" s="1077" t="s">
        <v>205</v>
      </c>
      <c r="B37" s="900"/>
      <c r="C37" s="900"/>
      <c r="D37" s="900"/>
      <c r="E37" s="900"/>
      <c r="F37" s="900"/>
      <c r="G37" s="900"/>
      <c r="H37" s="900"/>
      <c r="I37" s="900"/>
      <c r="J37" s="900"/>
      <c r="K37" s="900"/>
      <c r="L37" s="900"/>
      <c r="M37" s="900"/>
      <c r="N37" s="900"/>
    </row>
    <row r="38" spans="1:14" ht="50.25" customHeight="1">
      <c r="A38" s="1077" t="s">
        <v>212</v>
      </c>
      <c r="B38" s="900"/>
      <c r="C38" s="900"/>
      <c r="D38" s="900"/>
      <c r="E38" s="900"/>
      <c r="F38" s="900"/>
      <c r="G38" s="900"/>
      <c r="H38" s="900"/>
      <c r="I38" s="900"/>
      <c r="J38" s="900"/>
      <c r="K38" s="900"/>
      <c r="L38" s="900"/>
      <c r="M38" s="900"/>
      <c r="N38" s="900"/>
    </row>
    <row r="39" spans="1:14" ht="12.75" customHeight="1">
      <c r="A39" s="1077" t="s">
        <v>215</v>
      </c>
      <c r="B39" s="900"/>
      <c r="C39" s="900"/>
      <c r="D39" s="900"/>
      <c r="E39" s="900"/>
      <c r="F39" s="900"/>
      <c r="G39" s="900"/>
      <c r="H39" s="900"/>
      <c r="I39" s="900"/>
      <c r="J39" s="900"/>
      <c r="K39" s="900"/>
      <c r="L39" s="900"/>
      <c r="M39" s="900"/>
      <c r="N39" s="900"/>
    </row>
    <row r="40" spans="1:14" ht="12.75" customHeight="1">
      <c r="A40" s="861"/>
      <c r="B40" s="791"/>
      <c r="C40" s="791"/>
      <c r="D40" s="791"/>
      <c r="E40" s="791"/>
      <c r="F40" s="791"/>
      <c r="G40" s="791"/>
      <c r="H40" s="791"/>
      <c r="I40" s="791"/>
      <c r="J40" s="791"/>
      <c r="K40" s="791"/>
      <c r="L40" s="791"/>
      <c r="M40" s="791"/>
      <c r="N40" s="791"/>
    </row>
    <row r="41" spans="1:14" ht="12.75" customHeight="1">
      <c r="A41" s="1075" t="s">
        <v>432</v>
      </c>
      <c r="B41" s="1076"/>
      <c r="C41" s="1076"/>
      <c r="D41" s="791"/>
      <c r="E41" s="791"/>
      <c r="F41" s="791"/>
      <c r="G41" s="791"/>
      <c r="H41" s="791"/>
      <c r="I41" s="791"/>
      <c r="J41" s="791"/>
      <c r="K41" s="791"/>
      <c r="L41" s="791"/>
      <c r="M41" s="791"/>
      <c r="N41" s="791"/>
    </row>
    <row r="42" spans="1:14" ht="12.75" customHeight="1">
      <c r="A42" s="864" t="s">
        <v>433</v>
      </c>
      <c r="B42" s="791"/>
      <c r="C42" s="791"/>
      <c r="D42" s="791"/>
      <c r="E42" s="791"/>
      <c r="F42" s="791"/>
      <c r="G42" s="791"/>
      <c r="H42" s="791"/>
      <c r="I42" s="791"/>
      <c r="J42" s="791"/>
      <c r="K42" s="791"/>
      <c r="L42" s="791"/>
      <c r="M42" s="791"/>
      <c r="N42" s="791"/>
    </row>
    <row r="43" spans="1:14" ht="12.75" customHeight="1">
      <c r="A43" s="864" t="s">
        <v>434</v>
      </c>
      <c r="B43" s="791"/>
      <c r="C43" s="791"/>
      <c r="D43" s="791"/>
      <c r="E43" s="791"/>
      <c r="F43" s="791"/>
      <c r="G43" s="791"/>
      <c r="H43" s="791"/>
      <c r="I43" s="791"/>
      <c r="J43" s="791"/>
      <c r="K43" s="791"/>
      <c r="L43" s="791"/>
      <c r="M43" s="791"/>
      <c r="N43" s="791"/>
    </row>
    <row r="45" ht="12.75">
      <c r="A45" s="21" t="s">
        <v>183</v>
      </c>
    </row>
    <row r="46" ht="12.75">
      <c r="A46" t="s">
        <v>184</v>
      </c>
    </row>
    <row r="48" ht="12.75">
      <c r="A48" s="21" t="s">
        <v>185</v>
      </c>
    </row>
    <row r="49" ht="12.75">
      <c r="A49" t="s">
        <v>186</v>
      </c>
    </row>
    <row r="51" ht="12.75">
      <c r="A51" s="21" t="s">
        <v>187</v>
      </c>
    </row>
    <row r="52" ht="12.75">
      <c r="A52" t="s">
        <v>186</v>
      </c>
    </row>
    <row r="53" ht="12.75">
      <c r="A53" s="21"/>
    </row>
    <row r="54" ht="12.75">
      <c r="A54" s="21" t="s">
        <v>188</v>
      </c>
    </row>
    <row r="55" ht="12.75">
      <c r="A55" s="28" t="s">
        <v>189</v>
      </c>
    </row>
    <row r="56" spans="1:14" ht="42.75" customHeight="1">
      <c r="A56" s="1078" t="s">
        <v>216</v>
      </c>
      <c r="B56" s="900"/>
      <c r="C56" s="900"/>
      <c r="D56" s="900"/>
      <c r="E56" s="900"/>
      <c r="F56" s="900"/>
      <c r="G56" s="900"/>
      <c r="H56" s="900"/>
      <c r="I56" s="900"/>
      <c r="J56" s="900"/>
      <c r="K56" s="900"/>
      <c r="L56" s="900"/>
      <c r="M56" s="900"/>
      <c r="N56" s="900"/>
    </row>
    <row r="57" ht="12.75">
      <c r="A57" s="28" t="s">
        <v>202</v>
      </c>
    </row>
    <row r="58" ht="12.75">
      <c r="A58" s="28" t="s">
        <v>445</v>
      </c>
    </row>
    <row r="59" spans="1:14" ht="12.75">
      <c r="A59" s="1079" t="s">
        <v>721</v>
      </c>
      <c r="B59" s="900"/>
      <c r="C59" s="900"/>
      <c r="D59" s="900"/>
      <c r="E59" s="900"/>
      <c r="F59" s="900"/>
      <c r="G59" s="900"/>
      <c r="H59" s="900"/>
      <c r="I59" s="900"/>
      <c r="J59" s="900"/>
      <c r="K59" s="900"/>
      <c r="L59" s="900"/>
      <c r="M59" s="900"/>
      <c r="N59" s="900"/>
    </row>
    <row r="60" ht="12.75">
      <c r="A60" s="28"/>
    </row>
    <row r="61" ht="12.75">
      <c r="A61" s="21" t="s">
        <v>157</v>
      </c>
    </row>
    <row r="62" ht="12.75">
      <c r="A62" t="s">
        <v>158</v>
      </c>
    </row>
    <row r="63" ht="12.75">
      <c r="A63" t="s">
        <v>159</v>
      </c>
    </row>
    <row r="64" ht="12.75">
      <c r="A64" t="s">
        <v>160</v>
      </c>
    </row>
    <row r="65" ht="12.75">
      <c r="A65" t="s">
        <v>206</v>
      </c>
    </row>
    <row r="67" ht="12.75">
      <c r="A67" s="21" t="s">
        <v>213</v>
      </c>
    </row>
    <row r="68" ht="12.75">
      <c r="A68" t="s">
        <v>214</v>
      </c>
    </row>
    <row r="69" ht="12.75">
      <c r="A69" t="s">
        <v>219</v>
      </c>
    </row>
    <row r="71" ht="12.75">
      <c r="A71" s="21" t="s">
        <v>208</v>
      </c>
    </row>
    <row r="72" spans="1:14" ht="26.25" customHeight="1">
      <c r="A72" s="900" t="s">
        <v>209</v>
      </c>
      <c r="B72" s="900"/>
      <c r="C72" s="900"/>
      <c r="D72" s="900"/>
      <c r="E72" s="900"/>
      <c r="F72" s="900"/>
      <c r="G72" s="900"/>
      <c r="H72" s="900"/>
      <c r="I72" s="900"/>
      <c r="J72" s="900"/>
      <c r="K72" s="900"/>
      <c r="L72" s="900"/>
      <c r="M72" s="900"/>
      <c r="N72" s="900"/>
    </row>
    <row r="73" spans="1:14" ht="26.25" customHeight="1">
      <c r="A73" s="900" t="s">
        <v>688</v>
      </c>
      <c r="B73" s="900"/>
      <c r="C73" s="900"/>
      <c r="D73" s="900"/>
      <c r="E73" s="900"/>
      <c r="F73" s="900"/>
      <c r="G73" s="900"/>
      <c r="H73" s="900"/>
      <c r="I73" s="900"/>
      <c r="J73" s="900"/>
      <c r="K73" s="900"/>
      <c r="L73" s="900"/>
      <c r="M73" s="900"/>
      <c r="N73" s="900"/>
    </row>
    <row r="74" spans="1:14" ht="15" customHeight="1">
      <c r="A74" s="900" t="s">
        <v>687</v>
      </c>
      <c r="B74" s="900"/>
      <c r="C74" s="900"/>
      <c r="D74" s="900"/>
      <c r="E74" s="900"/>
      <c r="F74" s="900"/>
      <c r="G74" s="900"/>
      <c r="H74" s="900"/>
      <c r="I74" s="900"/>
      <c r="J74" s="900"/>
      <c r="K74" s="900"/>
      <c r="L74" s="900"/>
      <c r="M74" s="900"/>
      <c r="N74" s="900"/>
    </row>
    <row r="75" spans="1:14" ht="26.25" customHeight="1">
      <c r="A75" s="900" t="s">
        <v>689</v>
      </c>
      <c r="B75" s="900"/>
      <c r="C75" s="900"/>
      <c r="D75" s="900"/>
      <c r="E75" s="900"/>
      <c r="F75" s="900"/>
      <c r="G75" s="900"/>
      <c r="H75" s="900"/>
      <c r="I75" s="900"/>
      <c r="J75" s="900"/>
      <c r="K75" s="900"/>
      <c r="L75" s="900"/>
      <c r="M75" s="900"/>
      <c r="N75" s="900"/>
    </row>
    <row r="77" ht="12.75">
      <c r="A77" s="21" t="s">
        <v>210</v>
      </c>
    </row>
    <row r="78" ht="12.75">
      <c r="A78" t="s">
        <v>211</v>
      </c>
    </row>
    <row r="82" s="881" customFormat="1" ht="12.75">
      <c r="A82" s="880" t="s">
        <v>622</v>
      </c>
    </row>
    <row r="84" ht="12.75">
      <c r="A84" s="21" t="s">
        <v>169</v>
      </c>
    </row>
    <row r="85" ht="12.75">
      <c r="A85" t="s">
        <v>192</v>
      </c>
    </row>
    <row r="86" ht="12.75">
      <c r="A86" t="s">
        <v>194</v>
      </c>
    </row>
    <row r="88" ht="12.75">
      <c r="A88" s="21" t="s">
        <v>196</v>
      </c>
    </row>
    <row r="89" ht="12.75">
      <c r="A89" t="s">
        <v>195</v>
      </c>
    </row>
    <row r="90" ht="12.75">
      <c r="A90" t="s">
        <v>201</v>
      </c>
    </row>
    <row r="91" ht="12.75">
      <c r="A91" t="s">
        <v>197</v>
      </c>
    </row>
    <row r="92" ht="12.75">
      <c r="B92" t="s">
        <v>200</v>
      </c>
    </row>
    <row r="93" ht="12.75">
      <c r="B93" t="s">
        <v>198</v>
      </c>
    </row>
    <row r="94" ht="12.75">
      <c r="B94" t="s">
        <v>199</v>
      </c>
    </row>
    <row r="95" ht="12.75">
      <c r="B95" t="s">
        <v>623</v>
      </c>
    </row>
    <row r="96" ht="12.75">
      <c r="B96" t="s">
        <v>624</v>
      </c>
    </row>
    <row r="98" ht="12.75">
      <c r="A98" s="21" t="s">
        <v>259</v>
      </c>
    </row>
    <row r="99" spans="1:2" ht="12.75">
      <c r="A99" t="s">
        <v>260</v>
      </c>
      <c r="B99" t="s">
        <v>690</v>
      </c>
    </row>
    <row r="100" ht="12.75">
      <c r="B100" t="s">
        <v>261</v>
      </c>
    </row>
    <row r="101" spans="1:2" ht="12.75">
      <c r="A101" t="s">
        <v>697</v>
      </c>
      <c r="B101" t="s">
        <v>698</v>
      </c>
    </row>
    <row r="102" ht="12.75">
      <c r="B102" t="s">
        <v>699</v>
      </c>
    </row>
    <row r="103" ht="12.75">
      <c r="B103" t="s">
        <v>700</v>
      </c>
    </row>
    <row r="105" spans="1:3" ht="12.75">
      <c r="A105" s="1075" t="s">
        <v>432</v>
      </c>
      <c r="B105" s="1076"/>
      <c r="C105" s="1076"/>
    </row>
    <row r="106" ht="12.75">
      <c r="A106" t="s">
        <v>709</v>
      </c>
    </row>
    <row r="108" ht="12.75">
      <c r="A108" s="21" t="s">
        <v>187</v>
      </c>
    </row>
    <row r="109" ht="12.75">
      <c r="A109" t="s">
        <v>710</v>
      </c>
    </row>
    <row r="111" ht="12.75">
      <c r="A111" s="21" t="s">
        <v>188</v>
      </c>
    </row>
    <row r="112" ht="12.75">
      <c r="A112" t="s">
        <v>710</v>
      </c>
    </row>
    <row r="114" ht="12.75">
      <c r="A114" s="21" t="s">
        <v>208</v>
      </c>
    </row>
    <row r="115" ht="12.75">
      <c r="A115" t="s">
        <v>714</v>
      </c>
    </row>
    <row r="116" ht="12.75">
      <c r="A116" t="s">
        <v>717</v>
      </c>
    </row>
    <row r="118" ht="12.75">
      <c r="A118" s="880" t="s">
        <v>845</v>
      </c>
    </row>
    <row r="120" ht="12.75">
      <c r="A120" s="21" t="s">
        <v>846</v>
      </c>
    </row>
  </sheetData>
  <sheetProtection password="CD08" sheet="1" objects="1" scenarios="1"/>
  <mergeCells count="16">
    <mergeCell ref="A72:N72"/>
    <mergeCell ref="A11:N11"/>
    <mergeCell ref="A23:O23"/>
    <mergeCell ref="A27:N27"/>
    <mergeCell ref="A37:N37"/>
    <mergeCell ref="A20:M20"/>
    <mergeCell ref="A105:C105"/>
    <mergeCell ref="A38:N38"/>
    <mergeCell ref="A24:N24"/>
    <mergeCell ref="A39:N39"/>
    <mergeCell ref="A56:N56"/>
    <mergeCell ref="A41:C41"/>
    <mergeCell ref="A74:N74"/>
    <mergeCell ref="A75:N75"/>
    <mergeCell ref="A59:N59"/>
    <mergeCell ref="A73:N73"/>
  </mergeCells>
  <printOptions/>
  <pageMargins left="0.75" right="0.75" top="1" bottom="1" header="0.5" footer="0.5"/>
  <pageSetup fitToHeight="3" fitToWidth="1"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pageSetUpPr fitToPage="1"/>
  </sheetPr>
  <dimension ref="B1:K25"/>
  <sheetViews>
    <sheetView zoomScale="75" zoomScaleNormal="75" zoomScalePageLayoutView="0" workbookViewId="0" topLeftCell="A1">
      <pane ySplit="2" topLeftCell="A3" activePane="bottomLeft" state="frozen"/>
      <selection pane="topLeft" activeCell="A1" sqref="A1"/>
      <selection pane="bottomLeft" activeCell="A3" sqref="A3"/>
    </sheetView>
  </sheetViews>
  <sheetFormatPr defaultColWidth="11.421875" defaultRowHeight="12.75"/>
  <cols>
    <col min="1" max="1" width="4.421875" style="0" customWidth="1"/>
    <col min="2" max="2" width="5.00390625" style="0" customWidth="1"/>
    <col min="3" max="3" width="34.28125" style="0" customWidth="1"/>
    <col min="4" max="5" width="11.421875" style="0" customWidth="1"/>
    <col min="6" max="6" width="25.8515625" style="0" customWidth="1"/>
    <col min="7" max="7" width="11.421875" style="0" customWidth="1"/>
    <col min="8" max="8" width="51.7109375" style="0" customWidth="1"/>
    <col min="9" max="9" width="22.28125" style="0" customWidth="1"/>
  </cols>
  <sheetData>
    <row r="1" spans="3:8" s="21" customFormat="1" ht="23.25" customHeight="1" thickBot="1">
      <c r="C1" s="274"/>
      <c r="D1" s="273"/>
      <c r="E1" s="273"/>
      <c r="F1" s="273"/>
      <c r="G1" s="273"/>
      <c r="H1" s="273"/>
    </row>
    <row r="2" spans="2:8" s="26" customFormat="1" ht="32.25" customHeight="1" thickTop="1">
      <c r="B2" s="276"/>
      <c r="C2" s="277" t="s">
        <v>547</v>
      </c>
      <c r="D2" s="277" t="s">
        <v>548</v>
      </c>
      <c r="E2" s="278"/>
      <c r="F2" s="278"/>
      <c r="G2" s="278"/>
      <c r="H2" s="279"/>
    </row>
    <row r="3" spans="2:8" s="26" customFormat="1" ht="18" customHeight="1">
      <c r="B3" s="280"/>
      <c r="C3" s="281"/>
      <c r="D3" s="282"/>
      <c r="E3" s="282"/>
      <c r="F3" s="282"/>
      <c r="G3" s="282"/>
      <c r="H3" s="283"/>
    </row>
    <row r="4" spans="2:8" s="26" customFormat="1" ht="18" customHeight="1">
      <c r="B4" s="280"/>
      <c r="C4" s="269" t="s">
        <v>770</v>
      </c>
      <c r="D4" s="269"/>
      <c r="E4" s="294"/>
      <c r="F4" s="294"/>
      <c r="G4" s="294"/>
      <c r="H4" s="295"/>
    </row>
    <row r="5" spans="2:8" s="26" customFormat="1" ht="18" customHeight="1">
      <c r="B5" s="280"/>
      <c r="C5" s="269" t="s">
        <v>771</v>
      </c>
      <c r="D5" s="269"/>
      <c r="E5" s="294"/>
      <c r="F5" s="294"/>
      <c r="G5" s="294"/>
      <c r="H5" s="295"/>
    </row>
    <row r="6" spans="2:8" s="26" customFormat="1" ht="18" customHeight="1">
      <c r="B6" s="280"/>
      <c r="C6" s="269" t="s">
        <v>784</v>
      </c>
      <c r="D6" s="269" t="s">
        <v>347</v>
      </c>
      <c r="E6" s="294"/>
      <c r="F6" s="294"/>
      <c r="G6" s="294"/>
      <c r="H6" s="295"/>
    </row>
    <row r="7" spans="2:9" s="131" customFormat="1" ht="18" customHeight="1">
      <c r="B7" s="284"/>
      <c r="C7" s="269" t="s">
        <v>785</v>
      </c>
      <c r="D7" s="921" t="s">
        <v>295</v>
      </c>
      <c r="E7" s="921"/>
      <c r="F7" s="921"/>
      <c r="G7" s="921"/>
      <c r="H7" s="922"/>
      <c r="I7" s="182"/>
    </row>
    <row r="8" spans="2:9" s="131" customFormat="1" ht="18" customHeight="1">
      <c r="B8" s="284"/>
      <c r="C8" s="269" t="s">
        <v>737</v>
      </c>
      <c r="D8" s="271" t="s">
        <v>296</v>
      </c>
      <c r="E8" s="271"/>
      <c r="F8" s="271"/>
      <c r="G8" s="271"/>
      <c r="H8" s="272"/>
      <c r="I8" s="182"/>
    </row>
    <row r="9" spans="2:9" s="131" customFormat="1" ht="18" customHeight="1">
      <c r="B9" s="284"/>
      <c r="C9" s="269" t="s">
        <v>738</v>
      </c>
      <c r="D9" s="271" t="s">
        <v>739</v>
      </c>
      <c r="E9" s="271"/>
      <c r="F9" s="271"/>
      <c r="G9" s="271"/>
      <c r="H9" s="272"/>
      <c r="I9" s="182"/>
    </row>
    <row r="10" spans="2:9" s="131" customFormat="1" ht="18" customHeight="1">
      <c r="B10" s="284"/>
      <c r="C10" s="269" t="s">
        <v>787</v>
      </c>
      <c r="D10" s="271" t="s">
        <v>297</v>
      </c>
      <c r="E10" s="271"/>
      <c r="F10" s="271"/>
      <c r="G10" s="271"/>
      <c r="H10" s="272"/>
      <c r="I10" s="182"/>
    </row>
    <row r="11" spans="2:9" s="131" customFormat="1" ht="18" customHeight="1">
      <c r="B11" s="284"/>
      <c r="C11" s="269" t="s">
        <v>805</v>
      </c>
      <c r="D11" s="921" t="s">
        <v>346</v>
      </c>
      <c r="E11" s="921"/>
      <c r="F11" s="921"/>
      <c r="G11" s="921"/>
      <c r="H11" s="922"/>
      <c r="I11" s="182"/>
    </row>
    <row r="12" spans="2:9" s="131" customFormat="1" ht="18" customHeight="1">
      <c r="B12" s="284"/>
      <c r="C12" s="269" t="s">
        <v>806</v>
      </c>
      <c r="D12" s="921" t="s">
        <v>344</v>
      </c>
      <c r="E12" s="921"/>
      <c r="F12" s="921"/>
      <c r="G12" s="921"/>
      <c r="H12" s="922"/>
      <c r="I12" s="182"/>
    </row>
    <row r="13" spans="2:9" s="131" customFormat="1" ht="18" customHeight="1">
      <c r="B13" s="284"/>
      <c r="C13" s="269" t="s">
        <v>807</v>
      </c>
      <c r="D13" s="921" t="s">
        <v>301</v>
      </c>
      <c r="E13" s="921"/>
      <c r="F13" s="921"/>
      <c r="G13" s="921"/>
      <c r="H13" s="922"/>
      <c r="I13" s="182"/>
    </row>
    <row r="14" spans="2:9" s="131" customFormat="1" ht="18" customHeight="1">
      <c r="B14" s="284"/>
      <c r="C14" s="269" t="s">
        <v>299</v>
      </c>
      <c r="D14" s="271" t="s">
        <v>300</v>
      </c>
      <c r="E14" s="271"/>
      <c r="F14" s="271"/>
      <c r="G14" s="271"/>
      <c r="H14" s="272"/>
      <c r="I14" s="182"/>
    </row>
    <row r="15" spans="2:9" s="131" customFormat="1" ht="18" customHeight="1">
      <c r="B15" s="284"/>
      <c r="C15" s="269" t="s">
        <v>808</v>
      </c>
      <c r="D15" s="271" t="s">
        <v>800</v>
      </c>
      <c r="E15" s="271"/>
      <c r="F15" s="271"/>
      <c r="G15" s="271"/>
      <c r="H15" s="272"/>
      <c r="I15" s="182"/>
    </row>
    <row r="16" spans="2:11" s="28" customFormat="1" ht="18" customHeight="1">
      <c r="B16" s="285"/>
      <c r="C16" s="269" t="s">
        <v>549</v>
      </c>
      <c r="D16" s="921" t="s">
        <v>554</v>
      </c>
      <c r="E16" s="921"/>
      <c r="F16" s="921"/>
      <c r="G16" s="921"/>
      <c r="H16" s="272"/>
      <c r="I16" s="182"/>
      <c r="J16" s="131"/>
      <c r="K16" s="131"/>
    </row>
    <row r="17" spans="2:11" s="28" customFormat="1" ht="18" customHeight="1">
      <c r="B17" s="285"/>
      <c r="C17" s="269" t="s">
        <v>584</v>
      </c>
      <c r="D17" s="921" t="s">
        <v>585</v>
      </c>
      <c r="E17" s="921"/>
      <c r="F17" s="921"/>
      <c r="G17" s="271"/>
      <c r="H17" s="272"/>
      <c r="I17" s="182"/>
      <c r="J17" s="131"/>
      <c r="K17" s="131"/>
    </row>
    <row r="18" spans="2:11" s="28" customFormat="1" ht="18" customHeight="1">
      <c r="B18" s="285"/>
      <c r="C18" s="269" t="s">
        <v>411</v>
      </c>
      <c r="D18" s="271" t="s">
        <v>816</v>
      </c>
      <c r="E18" s="271"/>
      <c r="F18" s="271"/>
      <c r="G18" s="271"/>
      <c r="H18" s="272"/>
      <c r="I18" s="182"/>
      <c r="J18" s="131"/>
      <c r="K18" s="131"/>
    </row>
    <row r="19" spans="2:11" s="28" customFormat="1" ht="18" customHeight="1">
      <c r="B19" s="284"/>
      <c r="C19" s="269" t="s">
        <v>238</v>
      </c>
      <c r="D19" s="271" t="s">
        <v>302</v>
      </c>
      <c r="E19" s="271"/>
      <c r="F19" s="271"/>
      <c r="G19" s="271"/>
      <c r="H19" s="272"/>
      <c r="I19" s="182"/>
      <c r="J19" s="131"/>
      <c r="K19" s="131"/>
    </row>
    <row r="20" spans="2:11" s="28" customFormat="1" ht="18" customHeight="1">
      <c r="B20" s="284"/>
      <c r="C20" s="269" t="s">
        <v>220</v>
      </c>
      <c r="D20" s="271" t="s">
        <v>221</v>
      </c>
      <c r="E20" s="271"/>
      <c r="F20" s="271"/>
      <c r="G20" s="271"/>
      <c r="H20" s="272"/>
      <c r="I20" s="182"/>
      <c r="J20" s="131"/>
      <c r="K20" s="131"/>
    </row>
    <row r="21" spans="2:11" s="28" customFormat="1" ht="18" customHeight="1" thickBot="1">
      <c r="B21" s="286"/>
      <c r="C21" s="264"/>
      <c r="D21" s="287"/>
      <c r="E21" s="287"/>
      <c r="F21" s="287"/>
      <c r="G21" s="287"/>
      <c r="H21" s="288"/>
      <c r="I21" s="182"/>
      <c r="J21" s="131"/>
      <c r="K21" s="131"/>
    </row>
    <row r="22" spans="3:9" s="28" customFormat="1" ht="18" customHeight="1" thickTop="1">
      <c r="C22" s="181"/>
      <c r="D22" s="923"/>
      <c r="E22" s="923"/>
      <c r="F22" s="923"/>
      <c r="G22" s="923"/>
      <c r="H22" s="923"/>
      <c r="I22" s="923"/>
    </row>
    <row r="23" spans="3:9" s="28" customFormat="1" ht="18" customHeight="1">
      <c r="C23" s="181"/>
      <c r="D23" s="923"/>
      <c r="E23" s="923"/>
      <c r="F23" s="923"/>
      <c r="G23" s="923"/>
      <c r="H23" s="923"/>
      <c r="I23" s="923"/>
    </row>
    <row r="24" spans="3:9" s="28" customFormat="1" ht="18" customHeight="1">
      <c r="C24" s="181"/>
      <c r="D24" s="923"/>
      <c r="E24" s="923"/>
      <c r="F24" s="923"/>
      <c r="G24" s="923"/>
      <c r="H24" s="923"/>
      <c r="I24" s="923"/>
    </row>
    <row r="25" spans="3:9" s="28" customFormat="1" ht="18" customHeight="1">
      <c r="C25" s="181"/>
      <c r="D25" s="923"/>
      <c r="E25" s="923"/>
      <c r="F25" s="923"/>
      <c r="G25" s="923"/>
      <c r="H25" s="923"/>
      <c r="I25" s="923"/>
    </row>
    <row r="26" ht="18" customHeight="1"/>
    <row r="27" ht="15" customHeight="1"/>
  </sheetData>
  <sheetProtection password="CD08" sheet="1" objects="1" scenarios="1"/>
  <mergeCells count="10">
    <mergeCell ref="D7:H7"/>
    <mergeCell ref="D12:H12"/>
    <mergeCell ref="D13:H13"/>
    <mergeCell ref="D11:H11"/>
    <mergeCell ref="D16:G16"/>
    <mergeCell ref="D25:I25"/>
    <mergeCell ref="D17:F17"/>
    <mergeCell ref="D22:I22"/>
    <mergeCell ref="D23:I23"/>
    <mergeCell ref="D24:I24"/>
  </mergeCells>
  <printOptions/>
  <pageMargins left="0.75" right="0.75" top="1" bottom="1" header="0.4921259845" footer="0.4921259845"/>
  <pageSetup fitToHeight="1" fitToWidth="1" horizontalDpi="300" verticalDpi="300" orientation="portrait" scale="60" r:id="rId1"/>
</worksheet>
</file>

<file path=xl/worksheets/sheet3.xml><?xml version="1.0" encoding="utf-8"?>
<worksheet xmlns="http://schemas.openxmlformats.org/spreadsheetml/2006/main" xmlns:r="http://schemas.openxmlformats.org/officeDocument/2006/relationships">
  <sheetPr>
    <pageSetUpPr fitToPage="1"/>
  </sheetPr>
  <dimension ref="B2:H62"/>
  <sheetViews>
    <sheetView zoomScale="75" zoomScaleNormal="75" zoomScalePageLayoutView="0" workbookViewId="0" topLeftCell="A1">
      <selection activeCell="A1" sqref="A1"/>
    </sheetView>
  </sheetViews>
  <sheetFormatPr defaultColWidth="9.140625" defaultRowHeight="12.75"/>
  <cols>
    <col min="1" max="1" width="4.00390625" style="0" customWidth="1"/>
    <col min="2" max="2" width="9.00390625" style="0" customWidth="1"/>
    <col min="3" max="5" width="9.140625" style="0" hidden="1" customWidth="1"/>
    <col min="6" max="6" width="67.28125" style="0" customWidth="1"/>
    <col min="7" max="7" width="30.7109375" style="186" customWidth="1"/>
  </cols>
  <sheetData>
    <row r="2" spans="2:8" ht="28.5" customHeight="1">
      <c r="B2" s="928" t="s">
        <v>228</v>
      </c>
      <c r="C2" s="929"/>
      <c r="D2" s="929"/>
      <c r="E2" s="929"/>
      <c r="F2" s="929"/>
      <c r="G2" s="929"/>
      <c r="H2" s="929"/>
    </row>
    <row r="3" spans="2:8" ht="17.25" customHeight="1">
      <c r="B3" s="210"/>
      <c r="C3" s="211"/>
      <c r="D3" s="211"/>
      <c r="E3" s="211"/>
      <c r="F3" s="212" t="s">
        <v>759</v>
      </c>
      <c r="G3" s="213"/>
      <c r="H3" s="211"/>
    </row>
    <row r="4" spans="2:7" ht="27" customHeight="1" thickBot="1">
      <c r="B4" s="31"/>
      <c r="C4" s="31"/>
      <c r="D4" s="31"/>
      <c r="E4" s="31"/>
      <c r="F4" s="200"/>
      <c r="G4" s="200"/>
    </row>
    <row r="5" spans="2:8" ht="27" customHeight="1" thickTop="1">
      <c r="B5" s="932" t="s">
        <v>350</v>
      </c>
      <c r="C5" s="933"/>
      <c r="D5" s="933"/>
      <c r="E5" s="933"/>
      <c r="F5" s="933"/>
      <c r="G5" s="201"/>
      <c r="H5" s="202"/>
    </row>
    <row r="6" spans="2:8" ht="17.25" customHeight="1">
      <c r="B6" s="247"/>
      <c r="C6" s="248"/>
      <c r="D6" s="248"/>
      <c r="E6" s="248"/>
      <c r="F6" s="249"/>
      <c r="G6" s="135"/>
      <c r="H6" s="203"/>
    </row>
    <row r="7" spans="2:8" ht="14.25" customHeight="1">
      <c r="B7" s="67"/>
      <c r="C7" s="135"/>
      <c r="D7" s="135"/>
      <c r="E7" s="135"/>
      <c r="F7" s="238" t="s">
        <v>392</v>
      </c>
      <c r="G7" s="135"/>
      <c r="H7" s="203"/>
    </row>
    <row r="8" spans="2:8" ht="18" customHeight="1">
      <c r="B8" s="67"/>
      <c r="C8" s="135"/>
      <c r="D8" s="135"/>
      <c r="E8" s="135"/>
      <c r="F8" s="926"/>
      <c r="G8" s="927"/>
      <c r="H8" s="681"/>
    </row>
    <row r="9" spans="2:8" ht="25.5" customHeight="1">
      <c r="B9" s="67"/>
      <c r="C9" s="135"/>
      <c r="D9" s="135"/>
      <c r="E9" s="135"/>
      <c r="F9" s="930" t="s">
        <v>756</v>
      </c>
      <c r="G9" s="931"/>
      <c r="H9" s="203"/>
    </row>
    <row r="10" spans="2:8" ht="78" customHeight="1">
      <c r="B10" s="67"/>
      <c r="C10" s="135"/>
      <c r="D10" s="135"/>
      <c r="E10" s="135"/>
      <c r="F10" s="926"/>
      <c r="G10" s="927"/>
      <c r="H10" s="681"/>
    </row>
    <row r="11" spans="2:8" ht="15.75" customHeight="1">
      <c r="B11" s="67"/>
      <c r="C11" s="135"/>
      <c r="D11" s="135"/>
      <c r="E11" s="135"/>
      <c r="F11" s="241"/>
      <c r="G11" s="242"/>
      <c r="H11" s="203"/>
    </row>
    <row r="12" spans="2:8" ht="24" customHeight="1">
      <c r="B12" s="67"/>
      <c r="C12" s="135"/>
      <c r="D12" s="135"/>
      <c r="E12" s="135"/>
      <c r="F12" s="678" t="s">
        <v>758</v>
      </c>
      <c r="G12" s="678"/>
      <c r="H12" s="203"/>
    </row>
    <row r="13" spans="2:8" ht="84" customHeight="1">
      <c r="B13" s="67"/>
      <c r="C13" s="135"/>
      <c r="D13" s="135"/>
      <c r="E13" s="135"/>
      <c r="F13" s="926"/>
      <c r="G13" s="927"/>
      <c r="H13" s="203"/>
    </row>
    <row r="14" spans="2:8" ht="15.75" customHeight="1">
      <c r="B14" s="67"/>
      <c r="C14" s="135"/>
      <c r="D14" s="135"/>
      <c r="E14" s="135"/>
      <c r="F14" s="241"/>
      <c r="G14" s="242"/>
      <c r="H14" s="203"/>
    </row>
    <row r="15" spans="2:8" ht="24" customHeight="1">
      <c r="B15" s="67"/>
      <c r="C15" s="135"/>
      <c r="D15" s="135"/>
      <c r="E15" s="135"/>
      <c r="F15" s="678" t="s">
        <v>343</v>
      </c>
      <c r="G15" s="678"/>
      <c r="H15" s="203"/>
    </row>
    <row r="16" spans="2:8" ht="84" customHeight="1">
      <c r="B16" s="67"/>
      <c r="C16" s="135"/>
      <c r="D16" s="135"/>
      <c r="E16" s="135"/>
      <c r="F16" s="926"/>
      <c r="G16" s="927"/>
      <c r="H16" s="203"/>
    </row>
    <row r="17" spans="2:8" ht="18" customHeight="1">
      <c r="B17" s="67"/>
      <c r="C17" s="135"/>
      <c r="D17" s="135"/>
      <c r="E17" s="135"/>
      <c r="F17" s="135"/>
      <c r="G17" s="135"/>
      <c r="H17" s="203"/>
    </row>
    <row r="18" spans="2:8" ht="56.25" customHeight="1" thickBot="1">
      <c r="B18" s="67"/>
      <c r="C18" s="135"/>
      <c r="D18" s="135"/>
      <c r="E18" s="135"/>
      <c r="F18" s="924" t="s">
        <v>730</v>
      </c>
      <c r="G18" s="925"/>
      <c r="H18" s="203"/>
    </row>
    <row r="19" spans="2:8" ht="51" customHeight="1" thickBot="1" thickTop="1">
      <c r="B19" s="67"/>
      <c r="C19" s="135"/>
      <c r="D19" s="135"/>
      <c r="E19" s="135"/>
      <c r="F19" s="207" t="s">
        <v>646</v>
      </c>
      <c r="G19" s="682" t="s">
        <v>229</v>
      </c>
      <c r="H19" s="203"/>
    </row>
    <row r="20" spans="2:8" ht="13.5" thickTop="1">
      <c r="B20" s="67"/>
      <c r="C20" s="135"/>
      <c r="D20" s="135"/>
      <c r="E20" s="135"/>
      <c r="F20" s="208" t="s">
        <v>587</v>
      </c>
      <c r="G20" s="759"/>
      <c r="H20" s="203"/>
    </row>
    <row r="21" spans="2:8" ht="12.75">
      <c r="B21" s="67"/>
      <c r="C21" s="135"/>
      <c r="D21" s="135"/>
      <c r="E21" s="135"/>
      <c r="F21" s="209" t="s">
        <v>588</v>
      </c>
      <c r="G21" s="759"/>
      <c r="H21" s="203"/>
    </row>
    <row r="22" spans="2:8" ht="12.75">
      <c r="B22" s="67"/>
      <c r="C22" s="135"/>
      <c r="D22" s="135"/>
      <c r="E22" s="135"/>
      <c r="F22" s="209" t="s">
        <v>589</v>
      </c>
      <c r="G22" s="759"/>
      <c r="H22" s="203"/>
    </row>
    <row r="23" spans="2:8" ht="12.75">
      <c r="B23" s="67"/>
      <c r="C23" s="135"/>
      <c r="D23" s="135"/>
      <c r="E23" s="135"/>
      <c r="F23" s="209" t="s">
        <v>590</v>
      </c>
      <c r="G23" s="759"/>
      <c r="H23" s="203"/>
    </row>
    <row r="24" spans="2:8" ht="12.75">
      <c r="B24" s="67"/>
      <c r="C24" s="135"/>
      <c r="D24" s="135"/>
      <c r="E24" s="135"/>
      <c r="F24" s="209" t="s">
        <v>591</v>
      </c>
      <c r="G24" s="759"/>
      <c r="H24" s="203"/>
    </row>
    <row r="25" spans="2:8" ht="12.75">
      <c r="B25" s="67"/>
      <c r="C25" s="135"/>
      <c r="D25" s="135"/>
      <c r="E25" s="135"/>
      <c r="F25" s="209" t="s">
        <v>592</v>
      </c>
      <c r="G25" s="759"/>
      <c r="H25" s="203"/>
    </row>
    <row r="26" spans="2:8" ht="12.75">
      <c r="B26" s="67"/>
      <c r="C26" s="135"/>
      <c r="D26" s="135"/>
      <c r="E26" s="135"/>
      <c r="F26" s="209" t="s">
        <v>593</v>
      </c>
      <c r="G26" s="759"/>
      <c r="H26" s="203"/>
    </row>
    <row r="27" spans="2:8" ht="12.75">
      <c r="B27" s="67"/>
      <c r="C27" s="135"/>
      <c r="D27" s="135"/>
      <c r="E27" s="135"/>
      <c r="F27" s="209" t="s">
        <v>594</v>
      </c>
      <c r="G27" s="759"/>
      <c r="H27" s="203"/>
    </row>
    <row r="28" spans="2:8" ht="12.75">
      <c r="B28" s="67"/>
      <c r="C28" s="135"/>
      <c r="D28" s="135"/>
      <c r="E28" s="135"/>
      <c r="F28" s="209" t="s">
        <v>595</v>
      </c>
      <c r="G28" s="759"/>
      <c r="H28" s="203"/>
    </row>
    <row r="29" spans="2:8" ht="12.75">
      <c r="B29" s="67"/>
      <c r="C29" s="135"/>
      <c r="D29" s="135"/>
      <c r="E29" s="135"/>
      <c r="F29" s="209" t="s">
        <v>596</v>
      </c>
      <c r="G29" s="759"/>
      <c r="H29" s="203"/>
    </row>
    <row r="30" spans="2:8" ht="12.75">
      <c r="B30" s="67"/>
      <c r="C30" s="135"/>
      <c r="D30" s="135"/>
      <c r="E30" s="135"/>
      <c r="F30" s="209" t="s">
        <v>597</v>
      </c>
      <c r="G30" s="759"/>
      <c r="H30" s="203"/>
    </row>
    <row r="31" spans="2:8" ht="12.75">
      <c r="B31" s="67"/>
      <c r="C31" s="135"/>
      <c r="D31" s="135"/>
      <c r="E31" s="135"/>
      <c r="F31" s="209" t="s">
        <v>598</v>
      </c>
      <c r="G31" s="759"/>
      <c r="H31" s="203"/>
    </row>
    <row r="32" spans="2:8" ht="12.75">
      <c r="B32" s="67"/>
      <c r="C32" s="135"/>
      <c r="D32" s="135"/>
      <c r="E32" s="135"/>
      <c r="F32" s="209" t="s">
        <v>599</v>
      </c>
      <c r="G32" s="759"/>
      <c r="H32" s="203"/>
    </row>
    <row r="33" spans="2:8" ht="12.75">
      <c r="B33" s="67"/>
      <c r="C33" s="135"/>
      <c r="D33" s="135"/>
      <c r="E33" s="135"/>
      <c r="F33" s="209" t="s">
        <v>625</v>
      </c>
      <c r="G33" s="759"/>
      <c r="H33" s="203"/>
    </row>
    <row r="34" spans="2:8" ht="12.75">
      <c r="B34" s="67"/>
      <c r="C34" s="135"/>
      <c r="D34" s="135"/>
      <c r="E34" s="135"/>
      <c r="F34" s="209" t="s">
        <v>626</v>
      </c>
      <c r="G34" s="759"/>
      <c r="H34" s="203"/>
    </row>
    <row r="35" spans="2:8" ht="12.75">
      <c r="B35" s="67"/>
      <c r="C35" s="135"/>
      <c r="D35" s="135"/>
      <c r="E35" s="135"/>
      <c r="F35" s="209" t="s">
        <v>627</v>
      </c>
      <c r="G35" s="759"/>
      <c r="H35" s="203"/>
    </row>
    <row r="36" spans="2:8" ht="12.75">
      <c r="B36" s="67"/>
      <c r="C36" s="135"/>
      <c r="D36" s="135"/>
      <c r="E36" s="135"/>
      <c r="F36" s="209" t="s">
        <v>628</v>
      </c>
      <c r="G36" s="759"/>
      <c r="H36" s="203"/>
    </row>
    <row r="37" spans="2:8" ht="12.75">
      <c r="B37" s="67"/>
      <c r="C37" s="135"/>
      <c r="D37" s="135"/>
      <c r="E37" s="135"/>
      <c r="F37" s="209" t="s">
        <v>629</v>
      </c>
      <c r="G37" s="759"/>
      <c r="H37" s="203"/>
    </row>
    <row r="38" spans="2:8" ht="12.75">
      <c r="B38" s="67"/>
      <c r="C38" s="135"/>
      <c r="D38" s="135"/>
      <c r="E38" s="135"/>
      <c r="F38" s="209" t="s">
        <v>630</v>
      </c>
      <c r="G38" s="759"/>
      <c r="H38" s="203"/>
    </row>
    <row r="39" spans="2:8" ht="12.75">
      <c r="B39" s="67"/>
      <c r="C39" s="135"/>
      <c r="D39" s="135"/>
      <c r="E39" s="135"/>
      <c r="F39" s="209" t="s">
        <v>631</v>
      </c>
      <c r="G39" s="759"/>
      <c r="H39" s="203"/>
    </row>
    <row r="40" spans="2:8" ht="12.75">
      <c r="B40" s="67"/>
      <c r="C40" s="135"/>
      <c r="D40" s="135"/>
      <c r="E40" s="135"/>
      <c r="F40" s="209" t="s">
        <v>632</v>
      </c>
      <c r="G40" s="759"/>
      <c r="H40" s="203"/>
    </row>
    <row r="41" spans="2:8" ht="12.75">
      <c r="B41" s="67"/>
      <c r="C41" s="135"/>
      <c r="D41" s="135"/>
      <c r="E41" s="135"/>
      <c r="F41" s="209" t="s">
        <v>633</v>
      </c>
      <c r="G41" s="759"/>
      <c r="H41" s="203"/>
    </row>
    <row r="42" spans="2:8" ht="12.75">
      <c r="B42" s="67"/>
      <c r="C42" s="135"/>
      <c r="D42" s="135"/>
      <c r="E42" s="135"/>
      <c r="F42" s="209" t="s">
        <v>634</v>
      </c>
      <c r="G42" s="759"/>
      <c r="H42" s="203"/>
    </row>
    <row r="43" spans="2:8" ht="12.75">
      <c r="B43" s="67"/>
      <c r="C43" s="135"/>
      <c r="D43" s="135"/>
      <c r="E43" s="135"/>
      <c r="F43" s="209" t="s">
        <v>635</v>
      </c>
      <c r="G43" s="759"/>
      <c r="H43" s="203"/>
    </row>
    <row r="44" spans="2:8" ht="12.75">
      <c r="B44" s="67"/>
      <c r="C44" s="135"/>
      <c r="D44" s="135"/>
      <c r="E44" s="135"/>
      <c r="F44" s="209" t="s">
        <v>636</v>
      </c>
      <c r="G44" s="759"/>
      <c r="H44" s="203"/>
    </row>
    <row r="45" spans="2:8" ht="12.75">
      <c r="B45" s="67"/>
      <c r="C45" s="135"/>
      <c r="D45" s="135"/>
      <c r="E45" s="135"/>
      <c r="F45" s="209" t="s">
        <v>637</v>
      </c>
      <c r="G45" s="759"/>
      <c r="H45" s="203"/>
    </row>
    <row r="46" spans="2:8" ht="12.75">
      <c r="B46" s="67"/>
      <c r="C46" s="135"/>
      <c r="D46" s="135"/>
      <c r="E46" s="135"/>
      <c r="F46" s="209" t="s">
        <v>638</v>
      </c>
      <c r="G46" s="759"/>
      <c r="H46" s="203"/>
    </row>
    <row r="47" spans="2:8" ht="12.75">
      <c r="B47" s="67"/>
      <c r="C47" s="135"/>
      <c r="D47" s="135"/>
      <c r="E47" s="135"/>
      <c r="F47" s="209" t="s">
        <v>639</v>
      </c>
      <c r="G47" s="759"/>
      <c r="H47" s="203"/>
    </row>
    <row r="48" spans="2:8" ht="12.75">
      <c r="B48" s="67"/>
      <c r="C48" s="135"/>
      <c r="D48" s="135"/>
      <c r="E48" s="135"/>
      <c r="F48" s="209" t="s">
        <v>640</v>
      </c>
      <c r="G48" s="759"/>
      <c r="H48" s="203"/>
    </row>
    <row r="49" spans="2:8" ht="12.75">
      <c r="B49" s="67"/>
      <c r="C49" s="135"/>
      <c r="D49" s="135"/>
      <c r="E49" s="135"/>
      <c r="F49" s="209" t="s">
        <v>641</v>
      </c>
      <c r="G49" s="759"/>
      <c r="H49" s="203"/>
    </row>
    <row r="50" spans="2:8" ht="12.75">
      <c r="B50" s="67"/>
      <c r="C50" s="135"/>
      <c r="D50" s="135"/>
      <c r="E50" s="135"/>
      <c r="F50" s="209" t="s">
        <v>642</v>
      </c>
      <c r="G50" s="759"/>
      <c r="H50" s="203"/>
    </row>
    <row r="51" spans="2:8" ht="12.75">
      <c r="B51" s="67"/>
      <c r="C51" s="135"/>
      <c r="D51" s="135"/>
      <c r="E51" s="135"/>
      <c r="F51" s="209" t="s">
        <v>643</v>
      </c>
      <c r="G51" s="759"/>
      <c r="H51" s="203"/>
    </row>
    <row r="52" spans="2:8" ht="12.75">
      <c r="B52" s="67"/>
      <c r="C52" s="135"/>
      <c r="D52" s="135"/>
      <c r="E52" s="135"/>
      <c r="F52" s="209" t="s">
        <v>644</v>
      </c>
      <c r="G52" s="759"/>
      <c r="H52" s="203"/>
    </row>
    <row r="53" spans="2:8" ht="12.75">
      <c r="B53" s="67"/>
      <c r="C53" s="135"/>
      <c r="D53" s="135"/>
      <c r="E53" s="135"/>
      <c r="F53" s="209" t="s">
        <v>425</v>
      </c>
      <c r="G53" s="759"/>
      <c r="H53" s="203"/>
    </row>
    <row r="54" spans="2:8" ht="12.75">
      <c r="B54" s="67"/>
      <c r="C54" s="135"/>
      <c r="D54" s="135"/>
      <c r="E54" s="135"/>
      <c r="F54" s="209" t="s">
        <v>426</v>
      </c>
      <c r="G54" s="759"/>
      <c r="H54" s="203"/>
    </row>
    <row r="55" spans="2:8" ht="12.75">
      <c r="B55" s="67"/>
      <c r="C55" s="135"/>
      <c r="D55" s="135"/>
      <c r="E55" s="135"/>
      <c r="F55" s="209" t="s">
        <v>424</v>
      </c>
      <c r="G55" s="759"/>
      <c r="H55" s="203"/>
    </row>
    <row r="56" spans="2:8" ht="12.75">
      <c r="B56" s="67"/>
      <c r="C56" s="135"/>
      <c r="D56" s="135"/>
      <c r="E56" s="135"/>
      <c r="F56" s="209" t="s">
        <v>427</v>
      </c>
      <c r="G56" s="759"/>
      <c r="H56" s="203"/>
    </row>
    <row r="57" spans="2:8" ht="12.75">
      <c r="B57" s="67"/>
      <c r="C57" s="135"/>
      <c r="D57" s="135"/>
      <c r="E57" s="135"/>
      <c r="F57" s="761" t="s">
        <v>645</v>
      </c>
      <c r="G57" s="759"/>
      <c r="H57" s="203"/>
    </row>
    <row r="58" spans="2:8" ht="12.75">
      <c r="B58" s="67"/>
      <c r="C58" s="135"/>
      <c r="D58" s="135"/>
      <c r="E58" s="135"/>
      <c r="F58" s="761" t="s">
        <v>645</v>
      </c>
      <c r="G58" s="759"/>
      <c r="H58" s="203"/>
    </row>
    <row r="59" spans="2:8" ht="12.75">
      <c r="B59" s="67"/>
      <c r="C59" s="135"/>
      <c r="D59" s="135"/>
      <c r="E59" s="135"/>
      <c r="F59" s="761" t="s">
        <v>645</v>
      </c>
      <c r="G59" s="759"/>
      <c r="H59" s="203"/>
    </row>
    <row r="60" spans="2:8" ht="13.5" thickBot="1">
      <c r="B60" s="67"/>
      <c r="C60" s="135"/>
      <c r="D60" s="135"/>
      <c r="E60" s="135"/>
      <c r="F60" s="762" t="s">
        <v>645</v>
      </c>
      <c r="G60" s="760"/>
      <c r="H60" s="203"/>
    </row>
    <row r="61" spans="2:8" ht="13.5" thickTop="1">
      <c r="B61" s="67"/>
      <c r="C61" s="135"/>
      <c r="D61" s="135"/>
      <c r="E61" s="135"/>
      <c r="F61" s="135"/>
      <c r="G61" s="201"/>
      <c r="H61" s="203"/>
    </row>
    <row r="62" spans="2:8" ht="13.5" thickBot="1">
      <c r="B62" s="204"/>
      <c r="C62" s="205"/>
      <c r="D62" s="205"/>
      <c r="E62" s="205"/>
      <c r="F62" s="205"/>
      <c r="G62" s="205"/>
      <c r="H62" s="206"/>
    </row>
    <row r="63" ht="13.5" thickTop="1"/>
  </sheetData>
  <sheetProtection password="CD08" sheet="1" objects="1" scenarios="1"/>
  <mergeCells count="8">
    <mergeCell ref="F18:G18"/>
    <mergeCell ref="F10:G10"/>
    <mergeCell ref="F13:G13"/>
    <mergeCell ref="F16:G16"/>
    <mergeCell ref="B2:H2"/>
    <mergeCell ref="F9:G9"/>
    <mergeCell ref="B5:F5"/>
    <mergeCell ref="F8:G8"/>
  </mergeCells>
  <printOptions horizontalCentered="1" verticalCentered="1"/>
  <pageMargins left="0.75" right="0.75" top="0.6" bottom="0.5" header="0.32" footer="0.5"/>
  <pageSetup fitToHeight="1" fitToWidth="1" horizontalDpi="600" verticalDpi="600" orientation="portrait" scale="66" r:id="rId1"/>
  <headerFooter alignWithMargins="0">
    <oddHeader>&amp;L&amp;D&amp;R&amp;F</oddHeader>
  </headerFooter>
</worksheet>
</file>

<file path=xl/worksheets/sheet4.xml><?xml version="1.0" encoding="utf-8"?>
<worksheet xmlns="http://schemas.openxmlformats.org/spreadsheetml/2006/main" xmlns:r="http://schemas.openxmlformats.org/officeDocument/2006/relationships">
  <sheetPr>
    <pageSetUpPr fitToPage="1"/>
  </sheetPr>
  <dimension ref="A3:V101"/>
  <sheetViews>
    <sheetView zoomScale="90" zoomScaleNormal="90" zoomScaleSheetLayoutView="25" zoomScalePageLayoutView="0" workbookViewId="0" topLeftCell="A1">
      <selection activeCell="A1" sqref="A1"/>
    </sheetView>
  </sheetViews>
  <sheetFormatPr defaultColWidth="9.7109375" defaultRowHeight="12.75"/>
  <cols>
    <col min="1" max="1" width="4.57421875" style="4" customWidth="1"/>
    <col min="2" max="2" width="3.8515625" style="4" customWidth="1"/>
    <col min="3" max="3" width="33.57421875" style="4" customWidth="1"/>
    <col min="4" max="4" width="22.57421875" style="4" customWidth="1"/>
    <col min="5" max="5" width="21.8515625" style="148" customWidth="1"/>
    <col min="6" max="6" width="22.7109375" style="148" customWidth="1"/>
    <col min="7" max="7" width="24.57421875" style="148" customWidth="1"/>
    <col min="8" max="8" width="24.00390625" style="4" customWidth="1"/>
    <col min="9" max="9" width="22.57421875" style="4" customWidth="1"/>
    <col min="10" max="10" width="23.421875" style="4" customWidth="1"/>
    <col min="11" max="11" width="22.8515625" style="4" customWidth="1"/>
    <col min="12" max="12" width="25.7109375" style="4" customWidth="1"/>
    <col min="13" max="13" width="25.57421875" style="4" customWidth="1"/>
    <col min="14" max="14" width="17.28125" style="4" customWidth="1"/>
    <col min="15" max="15" width="19.140625" style="4" customWidth="1"/>
    <col min="16" max="16" width="16.8515625" style="4" customWidth="1"/>
    <col min="17" max="17" width="19.140625" style="4" customWidth="1"/>
    <col min="18" max="18" width="17.57421875" style="4" customWidth="1"/>
    <col min="19" max="19" width="15.8515625" style="4" customWidth="1"/>
    <col min="20" max="20" width="16.8515625" style="4" customWidth="1"/>
    <col min="21" max="21" width="5.421875" style="4" customWidth="1"/>
    <col min="22" max="16384" width="9.7109375" style="4" customWidth="1"/>
  </cols>
  <sheetData>
    <row r="3" spans="3:4" ht="27.75" customHeight="1">
      <c r="C3" s="512" t="s">
        <v>335</v>
      </c>
      <c r="D3" s="38"/>
    </row>
    <row r="4" spans="1:7" ht="192" customHeight="1">
      <c r="A4" s="38"/>
      <c r="C4" s="945" t="s">
        <v>430</v>
      </c>
      <c r="D4" s="920"/>
      <c r="E4" s="920"/>
      <c r="F4" s="920"/>
      <c r="G4" s="920"/>
    </row>
    <row r="5" spans="1:3" ht="18" customHeight="1">
      <c r="A5" s="38"/>
      <c r="C5" s="15"/>
    </row>
    <row r="6" spans="1:11" ht="30.75" customHeight="1">
      <c r="A6" s="38"/>
      <c r="C6" s="946" t="s">
        <v>355</v>
      </c>
      <c r="D6" s="947"/>
      <c r="E6" s="947"/>
      <c r="F6" s="947"/>
      <c r="G6" s="947"/>
      <c r="H6" s="947"/>
      <c r="I6" s="948"/>
      <c r="J6" s="948"/>
      <c r="K6" s="949"/>
    </row>
    <row r="7" spans="1:8" ht="13.5" customHeight="1" thickBot="1">
      <c r="A7" s="38"/>
      <c r="C7" s="15"/>
      <c r="H7" s="469"/>
    </row>
    <row r="8" spans="1:8" ht="22.5" customHeight="1" thickTop="1">
      <c r="A8" s="38"/>
      <c r="B8" s="504" t="s">
        <v>307</v>
      </c>
      <c r="C8" s="498"/>
      <c r="D8" s="499"/>
      <c r="E8" s="500"/>
      <c r="F8" s="500"/>
      <c r="G8" s="500"/>
      <c r="H8" s="508"/>
    </row>
    <row r="9" spans="1:8" ht="18" customHeight="1">
      <c r="A9" s="38"/>
      <c r="B9" s="943" t="s">
        <v>557</v>
      </c>
      <c r="C9" s="944"/>
      <c r="D9" s="160"/>
      <c r="E9" s="167"/>
      <c r="F9" s="167"/>
      <c r="G9" s="167"/>
      <c r="H9" s="355"/>
    </row>
    <row r="10" spans="1:8" ht="18" customHeight="1">
      <c r="A10" s="38"/>
      <c r="B10" s="943" t="s">
        <v>558</v>
      </c>
      <c r="C10" s="944"/>
      <c r="D10" s="481"/>
      <c r="E10" s="2" t="s">
        <v>254</v>
      </c>
      <c r="F10" s="167"/>
      <c r="G10" s="167"/>
      <c r="H10" s="355"/>
    </row>
    <row r="11" spans="1:8" ht="18" customHeight="1">
      <c r="A11" s="38"/>
      <c r="B11" s="943" t="s">
        <v>399</v>
      </c>
      <c r="C11" s="944"/>
      <c r="D11" s="163"/>
      <c r="E11" s="167"/>
      <c r="F11" s="167"/>
      <c r="G11" s="167"/>
      <c r="H11" s="355"/>
    </row>
    <row r="12" spans="2:18" ht="18" customHeight="1" thickBot="1">
      <c r="B12" s="505"/>
      <c r="C12" s="465"/>
      <c r="D12" s="465"/>
      <c r="E12" s="466"/>
      <c r="F12" s="467"/>
      <c r="G12" s="468"/>
      <c r="H12" s="494"/>
      <c r="I12" s="1"/>
      <c r="J12" s="1"/>
      <c r="K12" s="1"/>
      <c r="L12" s="1"/>
      <c r="M12" s="1"/>
      <c r="N12" s="1"/>
      <c r="O12" s="1"/>
      <c r="P12" s="1"/>
      <c r="Q12" s="1"/>
      <c r="R12" s="1"/>
    </row>
    <row r="13" spans="2:18" ht="18" customHeight="1" thickBot="1" thickTop="1">
      <c r="B13" s="19"/>
      <c r="C13" s="19"/>
      <c r="D13" s="19"/>
      <c r="E13" s="149"/>
      <c r="F13" s="159"/>
      <c r="G13" s="167"/>
      <c r="H13" s="1"/>
      <c r="I13" s="1"/>
      <c r="J13" s="1"/>
      <c r="K13" s="1"/>
      <c r="L13" s="1"/>
      <c r="M13" s="1"/>
      <c r="N13" s="1"/>
      <c r="O13" s="1"/>
      <c r="P13" s="1"/>
      <c r="Q13" s="1"/>
      <c r="R13" s="1"/>
    </row>
    <row r="14" spans="2:18" ht="18" customHeight="1" thickTop="1">
      <c r="B14" s="246" t="s">
        <v>313</v>
      </c>
      <c r="C14" s="55"/>
      <c r="D14" s="150"/>
      <c r="E14" s="150"/>
      <c r="F14" s="150"/>
      <c r="G14" s="55"/>
      <c r="H14" s="55"/>
      <c r="I14" s="55"/>
      <c r="J14" s="55"/>
      <c r="K14" s="55"/>
      <c r="L14" s="55"/>
      <c r="M14" s="56"/>
      <c r="N14" s="1"/>
      <c r="O14" s="1"/>
      <c r="P14" s="1"/>
      <c r="Q14" s="1"/>
      <c r="R14" s="1"/>
    </row>
    <row r="15" spans="2:18" ht="18" customHeight="1">
      <c r="B15" s="57"/>
      <c r="C15" s="65"/>
      <c r="D15" s="151"/>
      <c r="E15" s="17" t="s">
        <v>507</v>
      </c>
      <c r="F15" s="950" t="s">
        <v>522</v>
      </c>
      <c r="G15" s="951"/>
      <c r="H15" s="951"/>
      <c r="I15" s="952" t="s">
        <v>523</v>
      </c>
      <c r="J15" s="953"/>
      <c r="K15" s="953"/>
      <c r="L15" s="954"/>
      <c r="M15" s="71"/>
      <c r="N15" s="1"/>
      <c r="O15" s="1"/>
      <c r="P15" s="1"/>
      <c r="Q15" s="1"/>
      <c r="R15" s="1"/>
    </row>
    <row r="16" spans="2:18" ht="18" customHeight="1">
      <c r="B16" s="57"/>
      <c r="C16" s="65"/>
      <c r="D16" s="151"/>
      <c r="E16" s="164" t="s">
        <v>400</v>
      </c>
      <c r="F16" s="164" t="s">
        <v>401</v>
      </c>
      <c r="G16" s="3" t="s">
        <v>550</v>
      </c>
      <c r="H16" s="127" t="s">
        <v>402</v>
      </c>
      <c r="I16" s="128" t="s">
        <v>403</v>
      </c>
      <c r="J16" s="128" t="s">
        <v>406</v>
      </c>
      <c r="K16" s="128" t="s">
        <v>416</v>
      </c>
      <c r="L16" s="129" t="s">
        <v>741</v>
      </c>
      <c r="M16" s="72"/>
      <c r="N16" s="1"/>
      <c r="O16" s="1"/>
      <c r="P16" s="1"/>
      <c r="Q16" s="1"/>
      <c r="R16" s="1"/>
    </row>
    <row r="17" spans="2:18" ht="56.25" customHeight="1">
      <c r="B17" s="67"/>
      <c r="C17" s="135"/>
      <c r="D17" s="152"/>
      <c r="E17" s="165" t="s">
        <v>551</v>
      </c>
      <c r="F17" s="5" t="s">
        <v>239</v>
      </c>
      <c r="G17" s="5" t="s">
        <v>240</v>
      </c>
      <c r="H17" s="5" t="s">
        <v>241</v>
      </c>
      <c r="I17" s="5" t="s">
        <v>246</v>
      </c>
      <c r="J17" s="5" t="s">
        <v>247</v>
      </c>
      <c r="K17" s="5" t="s">
        <v>248</v>
      </c>
      <c r="L17" s="8" t="s">
        <v>249</v>
      </c>
      <c r="M17" s="73"/>
      <c r="N17" s="1"/>
      <c r="O17" s="1"/>
      <c r="P17" s="1"/>
      <c r="Q17" s="1"/>
      <c r="R17" s="1"/>
    </row>
    <row r="18" spans="2:18" ht="40.5" customHeight="1">
      <c r="B18" s="57"/>
      <c r="C18" s="65"/>
      <c r="D18" s="151"/>
      <c r="E18" s="187" t="s">
        <v>242</v>
      </c>
      <c r="F18" s="187" t="s">
        <v>243</v>
      </c>
      <c r="G18" s="187" t="s">
        <v>244</v>
      </c>
      <c r="H18" s="187" t="s">
        <v>245</v>
      </c>
      <c r="I18" s="8" t="s">
        <v>250</v>
      </c>
      <c r="J18" s="8" t="s">
        <v>251</v>
      </c>
      <c r="K18" s="8" t="s">
        <v>252</v>
      </c>
      <c r="L18" s="1080" t="s">
        <v>844</v>
      </c>
      <c r="M18" s="73"/>
      <c r="N18" s="1"/>
      <c r="O18" s="1"/>
      <c r="P18" s="1"/>
      <c r="Q18" s="1"/>
      <c r="R18" s="1"/>
    </row>
    <row r="19" spans="2:18" ht="40.5" customHeight="1">
      <c r="B19" s="57"/>
      <c r="C19" s="65"/>
      <c r="D19" s="151"/>
      <c r="E19" s="187"/>
      <c r="F19" s="956" t="s">
        <v>31</v>
      </c>
      <c r="G19" s="957"/>
      <c r="H19" s="958"/>
      <c r="I19" s="8"/>
      <c r="J19" s="8"/>
      <c r="K19" s="8"/>
      <c r="L19" s="136"/>
      <c r="M19" s="73"/>
      <c r="N19" s="1"/>
      <c r="O19" s="1"/>
      <c r="P19" s="1"/>
      <c r="Q19" s="1"/>
      <c r="R19" s="1"/>
    </row>
    <row r="20" spans="2:18" ht="18" customHeight="1">
      <c r="B20" s="57"/>
      <c r="C20" s="253" t="s">
        <v>552</v>
      </c>
      <c r="D20" s="254" t="s">
        <v>420</v>
      </c>
      <c r="E20" s="69">
        <v>1000000</v>
      </c>
      <c r="F20" s="84">
        <v>55.9</v>
      </c>
      <c r="G20" s="771">
        <v>0.0014</v>
      </c>
      <c r="H20" s="772">
        <v>0.0001</v>
      </c>
      <c r="I20" s="137">
        <f>$E20*F20/1000</f>
        <v>55900</v>
      </c>
      <c r="J20" s="192">
        <f>$E20*G20/1000</f>
        <v>1.4</v>
      </c>
      <c r="K20" s="197">
        <f>$E20*H20/1000</f>
        <v>0.1</v>
      </c>
      <c r="L20" s="189">
        <f>I20+J20*28+K20*265</f>
        <v>55965.7</v>
      </c>
      <c r="M20" s="70"/>
      <c r="N20" s="1"/>
      <c r="O20" s="1"/>
      <c r="P20" s="1"/>
      <c r="Q20" s="1"/>
      <c r="R20" s="1"/>
    </row>
    <row r="21" spans="2:18" ht="18" customHeight="1">
      <c r="B21" s="82"/>
      <c r="C21" s="41" t="s">
        <v>417</v>
      </c>
      <c r="D21" s="154" t="s">
        <v>415</v>
      </c>
      <c r="E21" s="12"/>
      <c r="F21" s="12"/>
      <c r="G21" s="11"/>
      <c r="H21" s="36"/>
      <c r="I21" s="138"/>
      <c r="J21" s="138"/>
      <c r="K21" s="138"/>
      <c r="L21" s="12"/>
      <c r="M21" s="74"/>
      <c r="N21" s="1"/>
      <c r="O21" s="1"/>
      <c r="P21" s="1"/>
      <c r="Q21" s="1"/>
      <c r="R21" s="1"/>
    </row>
    <row r="22" spans="2:18" ht="18" customHeight="1">
      <c r="B22" s="57"/>
      <c r="C22" s="748"/>
      <c r="D22" s="749"/>
      <c r="E22" s="718"/>
      <c r="F22" s="721"/>
      <c r="G22" s="773"/>
      <c r="H22" s="773"/>
      <c r="I22" s="774">
        <f>$E22*F22/1000</f>
        <v>0</v>
      </c>
      <c r="J22" s="134">
        <f>$E22*G22/1000</f>
        <v>0</v>
      </c>
      <c r="K22" s="220">
        <f>$E22*H22/1000</f>
        <v>0</v>
      </c>
      <c r="L22" s="267">
        <f>I22+J22*28+K22*265</f>
        <v>0</v>
      </c>
      <c r="M22" s="75"/>
      <c r="N22" s="1"/>
      <c r="O22" s="1"/>
      <c r="P22" s="1"/>
      <c r="Q22" s="1"/>
      <c r="R22" s="1"/>
    </row>
    <row r="23" spans="2:18" ht="18" customHeight="1">
      <c r="B23" s="57"/>
      <c r="C23" s="748"/>
      <c r="D23" s="749"/>
      <c r="E23" s="718"/>
      <c r="F23" s="721"/>
      <c r="G23" s="773"/>
      <c r="H23" s="773"/>
      <c r="I23" s="774">
        <f aca="true" t="shared" si="0" ref="I23:I35">$E23*F23/1000</f>
        <v>0</v>
      </c>
      <c r="J23" s="134">
        <f aca="true" t="shared" si="1" ref="J23:J35">$E23*G23/1000</f>
        <v>0</v>
      </c>
      <c r="K23" s="220">
        <f aca="true" t="shared" si="2" ref="K23:K35">$E23*H23/1000</f>
        <v>0</v>
      </c>
      <c r="L23" s="267">
        <f aca="true" t="shared" si="3" ref="L23:L35">I23+J23*28+K23*265</f>
        <v>0</v>
      </c>
      <c r="M23" s="75"/>
      <c r="N23" s="1"/>
      <c r="O23" s="1"/>
      <c r="P23" s="1"/>
      <c r="Q23" s="1"/>
      <c r="R23" s="1"/>
    </row>
    <row r="24" spans="2:18" ht="18" customHeight="1">
      <c r="B24" s="57"/>
      <c r="C24" s="748"/>
      <c r="D24" s="749"/>
      <c r="E24" s="718"/>
      <c r="F24" s="721"/>
      <c r="G24" s="773"/>
      <c r="H24" s="773"/>
      <c r="I24" s="774">
        <f t="shared" si="0"/>
        <v>0</v>
      </c>
      <c r="J24" s="134">
        <f t="shared" si="1"/>
        <v>0</v>
      </c>
      <c r="K24" s="220">
        <f t="shared" si="2"/>
        <v>0</v>
      </c>
      <c r="L24" s="267">
        <f t="shared" si="3"/>
        <v>0</v>
      </c>
      <c r="M24" s="75"/>
      <c r="N24" s="1"/>
      <c r="O24" s="1"/>
      <c r="P24" s="1"/>
      <c r="Q24" s="1"/>
      <c r="R24" s="1"/>
    </row>
    <row r="25" spans="2:18" ht="18" customHeight="1">
      <c r="B25" s="57"/>
      <c r="C25" s="748"/>
      <c r="D25" s="749"/>
      <c r="E25" s="718"/>
      <c r="F25" s="721"/>
      <c r="G25" s="773"/>
      <c r="H25" s="773"/>
      <c r="I25" s="774">
        <f t="shared" si="0"/>
        <v>0</v>
      </c>
      <c r="J25" s="134">
        <f t="shared" si="1"/>
        <v>0</v>
      </c>
      <c r="K25" s="220">
        <f t="shared" si="2"/>
        <v>0</v>
      </c>
      <c r="L25" s="267">
        <f t="shared" si="3"/>
        <v>0</v>
      </c>
      <c r="M25" s="75"/>
      <c r="N25" s="1"/>
      <c r="O25" s="1"/>
      <c r="P25" s="1"/>
      <c r="Q25" s="1"/>
      <c r="R25" s="1"/>
    </row>
    <row r="26" spans="2:18" ht="18" customHeight="1">
      <c r="B26" s="57"/>
      <c r="C26" s="748"/>
      <c r="D26" s="749"/>
      <c r="E26" s="718"/>
      <c r="F26" s="721"/>
      <c r="G26" s="773"/>
      <c r="H26" s="773"/>
      <c r="I26" s="774">
        <f t="shared" si="0"/>
        <v>0</v>
      </c>
      <c r="J26" s="134">
        <f t="shared" si="1"/>
        <v>0</v>
      </c>
      <c r="K26" s="220">
        <f t="shared" si="2"/>
        <v>0</v>
      </c>
      <c r="L26" s="267">
        <f t="shared" si="3"/>
        <v>0</v>
      </c>
      <c r="M26" s="75"/>
      <c r="N26" s="1"/>
      <c r="O26" s="1"/>
      <c r="P26" s="1"/>
      <c r="Q26" s="1"/>
      <c r="R26" s="1"/>
    </row>
    <row r="27" spans="2:18" ht="18" customHeight="1">
      <c r="B27" s="57"/>
      <c r="C27" s="748"/>
      <c r="D27" s="750"/>
      <c r="E27" s="718"/>
      <c r="F27" s="721"/>
      <c r="G27" s="773"/>
      <c r="H27" s="773"/>
      <c r="I27" s="774">
        <f t="shared" si="0"/>
        <v>0</v>
      </c>
      <c r="J27" s="134">
        <f t="shared" si="1"/>
        <v>0</v>
      </c>
      <c r="K27" s="220">
        <f t="shared" si="2"/>
        <v>0</v>
      </c>
      <c r="L27" s="267">
        <f t="shared" si="3"/>
        <v>0</v>
      </c>
      <c r="M27" s="75"/>
      <c r="N27" s="1"/>
      <c r="O27" s="1"/>
      <c r="P27" s="1"/>
      <c r="Q27" s="1"/>
      <c r="R27" s="1"/>
    </row>
    <row r="28" spans="2:18" ht="18" customHeight="1">
      <c r="B28" s="57"/>
      <c r="C28" s="748"/>
      <c r="D28" s="749"/>
      <c r="E28" s="718"/>
      <c r="F28" s="721"/>
      <c r="G28" s="773"/>
      <c r="H28" s="773"/>
      <c r="I28" s="774">
        <f t="shared" si="0"/>
        <v>0</v>
      </c>
      <c r="J28" s="134">
        <f t="shared" si="1"/>
        <v>0</v>
      </c>
      <c r="K28" s="220">
        <f t="shared" si="2"/>
        <v>0</v>
      </c>
      <c r="L28" s="267">
        <f t="shared" si="3"/>
        <v>0</v>
      </c>
      <c r="M28" s="75"/>
      <c r="N28" s="1"/>
      <c r="O28" s="1"/>
      <c r="P28" s="1"/>
      <c r="Q28" s="1"/>
      <c r="R28" s="1"/>
    </row>
    <row r="29" spans="2:18" ht="18" customHeight="1">
      <c r="B29" s="57"/>
      <c r="C29" s="748"/>
      <c r="D29" s="749"/>
      <c r="E29" s="718"/>
      <c r="F29" s="721"/>
      <c r="G29" s="773"/>
      <c r="H29" s="773"/>
      <c r="I29" s="774">
        <f t="shared" si="0"/>
        <v>0</v>
      </c>
      <c r="J29" s="134">
        <f t="shared" si="1"/>
        <v>0</v>
      </c>
      <c r="K29" s="220">
        <f t="shared" si="2"/>
        <v>0</v>
      </c>
      <c r="L29" s="267">
        <f t="shared" si="3"/>
        <v>0</v>
      </c>
      <c r="M29" s="75"/>
      <c r="N29" s="1"/>
      <c r="O29" s="1"/>
      <c r="P29" s="1"/>
      <c r="Q29" s="1"/>
      <c r="R29" s="1"/>
    </row>
    <row r="30" spans="2:18" ht="18" customHeight="1">
      <c r="B30" s="57"/>
      <c r="C30" s="748"/>
      <c r="D30" s="749"/>
      <c r="E30" s="721"/>
      <c r="F30" s="721"/>
      <c r="G30" s="773"/>
      <c r="H30" s="773"/>
      <c r="I30" s="774">
        <f t="shared" si="0"/>
        <v>0</v>
      </c>
      <c r="J30" s="134">
        <f t="shared" si="1"/>
        <v>0</v>
      </c>
      <c r="K30" s="220">
        <f t="shared" si="2"/>
        <v>0</v>
      </c>
      <c r="L30" s="267">
        <f t="shared" si="3"/>
        <v>0</v>
      </c>
      <c r="M30" s="75"/>
      <c r="N30" s="1"/>
      <c r="O30" s="1"/>
      <c r="P30" s="1"/>
      <c r="Q30" s="1"/>
      <c r="R30" s="1"/>
    </row>
    <row r="31" spans="2:20" ht="18" customHeight="1">
      <c r="B31" s="57"/>
      <c r="C31" s="748"/>
      <c r="D31" s="749"/>
      <c r="E31" s="721"/>
      <c r="F31" s="721"/>
      <c r="G31" s="773"/>
      <c r="H31" s="773"/>
      <c r="I31" s="774">
        <f t="shared" si="0"/>
        <v>0</v>
      </c>
      <c r="J31" s="134">
        <f t="shared" si="1"/>
        <v>0</v>
      </c>
      <c r="K31" s="220">
        <f t="shared" si="2"/>
        <v>0</v>
      </c>
      <c r="L31" s="267">
        <f t="shared" si="3"/>
        <v>0</v>
      </c>
      <c r="M31" s="75"/>
      <c r="N31" s="1"/>
      <c r="O31" s="1"/>
      <c r="P31" s="1"/>
      <c r="Q31" s="1"/>
      <c r="R31" s="1"/>
      <c r="S31" s="1"/>
      <c r="T31" s="1"/>
    </row>
    <row r="32" spans="2:20" ht="18" customHeight="1">
      <c r="B32" s="57"/>
      <c r="C32" s="748"/>
      <c r="D32" s="749"/>
      <c r="E32" s="721"/>
      <c r="F32" s="721"/>
      <c r="G32" s="773"/>
      <c r="H32" s="773"/>
      <c r="I32" s="774">
        <f t="shared" si="0"/>
        <v>0</v>
      </c>
      <c r="J32" s="134">
        <f t="shared" si="1"/>
        <v>0</v>
      </c>
      <c r="K32" s="220">
        <f t="shared" si="2"/>
        <v>0</v>
      </c>
      <c r="L32" s="267">
        <f>I32+J32*28+K32*265</f>
        <v>0</v>
      </c>
      <c r="M32" s="75"/>
      <c r="N32" s="1"/>
      <c r="O32" s="1"/>
      <c r="P32" s="1"/>
      <c r="Q32" s="1"/>
      <c r="R32" s="1"/>
      <c r="S32" s="1"/>
      <c r="T32" s="1"/>
    </row>
    <row r="33" spans="2:20" ht="18" customHeight="1">
      <c r="B33" s="57"/>
      <c r="C33" s="748"/>
      <c r="D33" s="749"/>
      <c r="E33" s="721"/>
      <c r="F33" s="721"/>
      <c r="G33" s="773"/>
      <c r="H33" s="773"/>
      <c r="I33" s="774">
        <f t="shared" si="0"/>
        <v>0</v>
      </c>
      <c r="J33" s="134">
        <f t="shared" si="1"/>
        <v>0</v>
      </c>
      <c r="K33" s="220">
        <f t="shared" si="2"/>
        <v>0</v>
      </c>
      <c r="L33" s="267">
        <f t="shared" si="3"/>
        <v>0</v>
      </c>
      <c r="M33" s="75"/>
      <c r="N33" s="1"/>
      <c r="O33" s="1"/>
      <c r="P33" s="1"/>
      <c r="Q33" s="1"/>
      <c r="R33" s="1"/>
      <c r="S33" s="1"/>
      <c r="T33" s="1"/>
    </row>
    <row r="34" spans="2:20" ht="18" customHeight="1">
      <c r="B34" s="57"/>
      <c r="C34" s="748"/>
      <c r="D34" s="751"/>
      <c r="E34" s="721"/>
      <c r="F34" s="721"/>
      <c r="G34" s="773"/>
      <c r="H34" s="773"/>
      <c r="I34" s="774">
        <f t="shared" si="0"/>
        <v>0</v>
      </c>
      <c r="J34" s="134">
        <f t="shared" si="1"/>
        <v>0</v>
      </c>
      <c r="K34" s="220">
        <f t="shared" si="2"/>
        <v>0</v>
      </c>
      <c r="L34" s="267">
        <f t="shared" si="3"/>
        <v>0</v>
      </c>
      <c r="M34" s="75"/>
      <c r="N34" s="1"/>
      <c r="O34" s="1"/>
      <c r="P34" s="1"/>
      <c r="Q34" s="1"/>
      <c r="R34" s="1"/>
      <c r="S34" s="1"/>
      <c r="T34" s="1"/>
    </row>
    <row r="35" spans="2:13" ht="18" customHeight="1">
      <c r="B35" s="57"/>
      <c r="C35" s="748"/>
      <c r="D35" s="749"/>
      <c r="E35" s="721"/>
      <c r="F35" s="721"/>
      <c r="G35" s="773"/>
      <c r="H35" s="773"/>
      <c r="I35" s="774">
        <f t="shared" si="0"/>
        <v>0</v>
      </c>
      <c r="J35" s="134">
        <f t="shared" si="1"/>
        <v>0</v>
      </c>
      <c r="K35" s="220">
        <f t="shared" si="2"/>
        <v>0</v>
      </c>
      <c r="L35" s="267">
        <f t="shared" si="3"/>
        <v>0</v>
      </c>
      <c r="M35" s="75"/>
    </row>
    <row r="36" spans="2:13" ht="18" customHeight="1">
      <c r="B36" s="78"/>
      <c r="C36" s="79"/>
      <c r="D36" s="155"/>
      <c r="E36" s="155"/>
      <c r="F36" s="155"/>
      <c r="G36" s="79"/>
      <c r="H36" s="79"/>
      <c r="I36" s="658" t="s">
        <v>97</v>
      </c>
      <c r="J36" s="658" t="s">
        <v>98</v>
      </c>
      <c r="K36" s="658" t="s">
        <v>99</v>
      </c>
      <c r="L36" s="658" t="s">
        <v>100</v>
      </c>
      <c r="M36" s="76"/>
    </row>
    <row r="37" spans="2:13" ht="18" customHeight="1">
      <c r="B37" s="78"/>
      <c r="C37" s="79"/>
      <c r="D37" s="155"/>
      <c r="E37" s="155"/>
      <c r="F37" s="155"/>
      <c r="G37" s="938" t="s">
        <v>30</v>
      </c>
      <c r="H37" s="939"/>
      <c r="I37" s="776">
        <f>SUM(I22:I35)</f>
        <v>0</v>
      </c>
      <c r="J37" s="776">
        <f>SUM(J22:J35)</f>
        <v>0</v>
      </c>
      <c r="K37" s="776">
        <f>SUM(K22:K35)</f>
        <v>0</v>
      </c>
      <c r="L37" s="141">
        <f>I37+J37*28+K37*265</f>
        <v>0</v>
      </c>
      <c r="M37" s="655" t="s">
        <v>838</v>
      </c>
    </row>
    <row r="38" spans="2:13" ht="42" customHeight="1">
      <c r="B38" s="78"/>
      <c r="C38" s="79"/>
      <c r="D38" s="155"/>
      <c r="E38" s="155"/>
      <c r="F38" s="155"/>
      <c r="G38" s="938" t="s">
        <v>28</v>
      </c>
      <c r="H38" s="939"/>
      <c r="I38" s="776">
        <f>'CO2 Imports and Exports'!E20</f>
        <v>0</v>
      </c>
      <c r="J38" s="775" t="s">
        <v>253</v>
      </c>
      <c r="K38" s="775" t="s">
        <v>253</v>
      </c>
      <c r="L38" s="775" t="s">
        <v>253</v>
      </c>
      <c r="M38" s="655" t="s">
        <v>74</v>
      </c>
    </row>
    <row r="39" spans="2:13" ht="42" customHeight="1">
      <c r="B39" s="78"/>
      <c r="C39" s="79"/>
      <c r="D39" s="155"/>
      <c r="E39" s="155"/>
      <c r="F39" s="155"/>
      <c r="G39" s="938" t="s">
        <v>29</v>
      </c>
      <c r="H39" s="939"/>
      <c r="I39" s="776">
        <f>I37-I38</f>
        <v>0</v>
      </c>
      <c r="J39" s="777">
        <f>J37</f>
        <v>0</v>
      </c>
      <c r="K39" s="777">
        <f>K37</f>
        <v>0</v>
      </c>
      <c r="L39" s="141">
        <f>I39+J39*28+K39*265</f>
        <v>0</v>
      </c>
      <c r="M39" s="655" t="s">
        <v>838</v>
      </c>
    </row>
    <row r="40" spans="2:13" ht="18" customHeight="1" thickBot="1">
      <c r="B40" s="80"/>
      <c r="C40" s="81"/>
      <c r="D40" s="156"/>
      <c r="E40" s="156"/>
      <c r="F40" s="156"/>
      <c r="G40" s="81"/>
      <c r="H40" s="81"/>
      <c r="I40" s="81"/>
      <c r="J40" s="81"/>
      <c r="K40" s="81"/>
      <c r="L40" s="81"/>
      <c r="M40" s="188"/>
    </row>
    <row r="41" spans="2:11" ht="23.25" customHeight="1" thickTop="1">
      <c r="B41" s="19"/>
      <c r="C41" s="19"/>
      <c r="D41" s="19"/>
      <c r="E41" s="149"/>
      <c r="F41" s="159"/>
      <c r="G41" s="167"/>
      <c r="H41" s="1"/>
      <c r="I41" s="1"/>
      <c r="J41" s="1"/>
      <c r="K41" s="1"/>
    </row>
    <row r="42" spans="2:11" ht="41.25" customHeight="1">
      <c r="B42" s="19"/>
      <c r="C42" s="940" t="s">
        <v>809</v>
      </c>
      <c r="D42" s="900"/>
      <c r="E42" s="900"/>
      <c r="F42" s="900"/>
      <c r="G42" s="900"/>
      <c r="H42" s="900"/>
      <c r="I42" s="1"/>
      <c r="J42" s="1"/>
      <c r="K42" s="1"/>
    </row>
    <row r="43" spans="8:9" ht="18" customHeight="1" thickBot="1">
      <c r="H43" s="469"/>
      <c r="I43" s="469"/>
    </row>
    <row r="44" spans="2:9" ht="18" customHeight="1" thickTop="1">
      <c r="B44" s="86"/>
      <c r="C44" s="87"/>
      <c r="D44" s="934" t="s">
        <v>647</v>
      </c>
      <c r="E44" s="935"/>
      <c r="F44" s="935"/>
      <c r="G44" s="935"/>
      <c r="H44" s="55"/>
      <c r="I44" s="58"/>
    </row>
    <row r="45" spans="2:9" ht="20.25" customHeight="1">
      <c r="B45" s="88"/>
      <c r="C45" s="89"/>
      <c r="D45" s="936"/>
      <c r="E45" s="936"/>
      <c r="F45" s="936"/>
      <c r="G45" s="936"/>
      <c r="H45" s="65"/>
      <c r="I45" s="58"/>
    </row>
    <row r="46" spans="2:9" ht="36.75" customHeight="1">
      <c r="B46" s="88"/>
      <c r="C46" s="90"/>
      <c r="D46" s="941" t="s">
        <v>600</v>
      </c>
      <c r="E46" s="942"/>
      <c r="F46" s="942"/>
      <c r="G46" s="942"/>
      <c r="H46" s="296"/>
      <c r="I46" s="58"/>
    </row>
    <row r="47" spans="2:9" ht="66.75" customHeight="1">
      <c r="B47" s="88"/>
      <c r="C47" s="39" t="s">
        <v>415</v>
      </c>
      <c r="D47" s="34" t="s">
        <v>604</v>
      </c>
      <c r="E47" s="34" t="s">
        <v>674</v>
      </c>
      <c r="F47" s="34" t="s">
        <v>675</v>
      </c>
      <c r="G47" s="778" t="s">
        <v>605</v>
      </c>
      <c r="H47" s="34" t="s">
        <v>255</v>
      </c>
      <c r="I47" s="58"/>
    </row>
    <row r="48" spans="2:9" ht="18" customHeight="1">
      <c r="B48" s="88"/>
      <c r="C48" s="43" t="s">
        <v>453</v>
      </c>
      <c r="D48" s="185"/>
      <c r="E48" s="185"/>
      <c r="F48" s="185"/>
      <c r="G48" s="185"/>
      <c r="H48" s="780"/>
      <c r="I48" s="58"/>
    </row>
    <row r="49" spans="2:9" ht="12.75">
      <c r="B49" s="88"/>
      <c r="C49" s="40" t="s">
        <v>418</v>
      </c>
      <c r="D49" s="40">
        <v>71.9</v>
      </c>
      <c r="E49" s="40">
        <v>0.003</v>
      </c>
      <c r="F49" s="40">
        <v>0.0006</v>
      </c>
      <c r="G49" s="779">
        <f>D49+25*E49+298*F49</f>
        <v>72.1538</v>
      </c>
      <c r="H49" s="781" t="s">
        <v>606</v>
      </c>
      <c r="I49" s="58"/>
    </row>
    <row r="50" spans="2:9" ht="56.25" customHeight="1">
      <c r="B50" s="88"/>
      <c r="C50" s="40" t="s">
        <v>763</v>
      </c>
      <c r="D50" s="40">
        <v>74.1</v>
      </c>
      <c r="E50" s="40">
        <v>0.0002</v>
      </c>
      <c r="F50" s="40">
        <v>0.0004</v>
      </c>
      <c r="G50" s="779">
        <f aca="true" t="shared" si="4" ref="G50:G56">D50+25*E50+298*F50</f>
        <v>74.2242</v>
      </c>
      <c r="H50" s="781" t="s">
        <v>607</v>
      </c>
      <c r="I50" s="58"/>
    </row>
    <row r="51" spans="2:9" ht="63.75">
      <c r="B51" s="88"/>
      <c r="C51" s="40" t="s">
        <v>764</v>
      </c>
      <c r="D51" s="40">
        <v>74.1</v>
      </c>
      <c r="E51" s="40">
        <v>0.0027</v>
      </c>
      <c r="F51" s="40">
        <v>0</v>
      </c>
      <c r="G51" s="779">
        <f t="shared" si="4"/>
        <v>74.16749999999999</v>
      </c>
      <c r="H51" s="783" t="s">
        <v>257</v>
      </c>
      <c r="I51" s="58"/>
    </row>
    <row r="52" spans="2:9" ht="38.25">
      <c r="B52" s="88"/>
      <c r="C52" s="40" t="s">
        <v>765</v>
      </c>
      <c r="D52" s="40">
        <v>74.1</v>
      </c>
      <c r="E52" s="40">
        <v>0.0027</v>
      </c>
      <c r="F52" s="40">
        <v>0.0006</v>
      </c>
      <c r="G52" s="779">
        <f t="shared" si="4"/>
        <v>74.34629999999999</v>
      </c>
      <c r="H52" s="783" t="s">
        <v>608</v>
      </c>
      <c r="I52" s="58"/>
    </row>
    <row r="53" spans="2:9" ht="38.25">
      <c r="B53" s="88"/>
      <c r="C53" s="40" t="s">
        <v>553</v>
      </c>
      <c r="D53" s="40">
        <v>77.4</v>
      </c>
      <c r="E53" s="40">
        <v>0.003</v>
      </c>
      <c r="F53" s="40">
        <v>0.0003</v>
      </c>
      <c r="G53" s="779">
        <f t="shared" si="4"/>
        <v>77.5644</v>
      </c>
      <c r="H53" s="781" t="s">
        <v>607</v>
      </c>
      <c r="I53" s="58"/>
    </row>
    <row r="54" spans="2:9" ht="63.75">
      <c r="B54" s="88"/>
      <c r="C54" s="40" t="s">
        <v>422</v>
      </c>
      <c r="D54" s="40">
        <v>77.4</v>
      </c>
      <c r="E54" s="40">
        <v>0.0027</v>
      </c>
      <c r="F54" s="40">
        <v>0</v>
      </c>
      <c r="G54" s="779">
        <f t="shared" si="4"/>
        <v>77.4675</v>
      </c>
      <c r="H54" s="783" t="s">
        <v>257</v>
      </c>
      <c r="I54" s="58"/>
    </row>
    <row r="55" spans="2:9" ht="38.25">
      <c r="B55" s="88"/>
      <c r="C55" s="40" t="s">
        <v>423</v>
      </c>
      <c r="D55" s="40">
        <v>77.4</v>
      </c>
      <c r="E55" s="40">
        <v>0.0027</v>
      </c>
      <c r="F55" s="40">
        <v>0.0006</v>
      </c>
      <c r="G55" s="779">
        <f t="shared" si="4"/>
        <v>77.6463</v>
      </c>
      <c r="H55" s="783" t="s">
        <v>608</v>
      </c>
      <c r="I55" s="58"/>
    </row>
    <row r="56" spans="2:9" ht="38.25">
      <c r="B56" s="88"/>
      <c r="C56" s="40" t="s">
        <v>404</v>
      </c>
      <c r="D56" s="40">
        <v>63.1</v>
      </c>
      <c r="E56" s="40">
        <v>0.0009</v>
      </c>
      <c r="F56" s="40">
        <v>0.004</v>
      </c>
      <c r="G56" s="779">
        <f t="shared" si="4"/>
        <v>64.3145</v>
      </c>
      <c r="H56" s="781" t="s">
        <v>607</v>
      </c>
      <c r="I56" s="58"/>
    </row>
    <row r="57" spans="2:9" ht="30.75" customHeight="1">
      <c r="B57" s="88"/>
      <c r="C57" s="42" t="s">
        <v>452</v>
      </c>
      <c r="D57" s="42"/>
      <c r="E57" s="42"/>
      <c r="F57" s="42"/>
      <c r="G57" s="185"/>
      <c r="H57" s="780"/>
      <c r="I57" s="58"/>
    </row>
    <row r="58" spans="2:9" ht="38.25">
      <c r="B58" s="88"/>
      <c r="C58" s="40" t="s">
        <v>762</v>
      </c>
      <c r="D58" s="40">
        <v>56.1</v>
      </c>
      <c r="E58" s="40">
        <v>0.001</v>
      </c>
      <c r="F58" s="40">
        <v>0.001</v>
      </c>
      <c r="G58" s="779">
        <f>D58+25*E58+298*F58</f>
        <v>56.423</v>
      </c>
      <c r="H58" s="781" t="s">
        <v>607</v>
      </c>
      <c r="I58" s="58"/>
    </row>
    <row r="59" spans="2:9" ht="25.5">
      <c r="B59" s="88"/>
      <c r="C59" s="40" t="s">
        <v>609</v>
      </c>
      <c r="D59" s="40">
        <v>56.1</v>
      </c>
      <c r="E59" s="40">
        <v>0.004</v>
      </c>
      <c r="F59" s="40">
        <v>0.001</v>
      </c>
      <c r="G59" s="779">
        <f aca="true" t="shared" si="5" ref="G59:G64">D59+25*E59+298*F59</f>
        <v>56.498000000000005</v>
      </c>
      <c r="H59" s="781" t="s">
        <v>610</v>
      </c>
      <c r="I59" s="58"/>
    </row>
    <row r="60" spans="2:9" ht="63.75">
      <c r="B60" s="88"/>
      <c r="C60" s="40" t="s">
        <v>760</v>
      </c>
      <c r="D60" s="40">
        <v>56.1</v>
      </c>
      <c r="E60" s="40">
        <v>0.0027</v>
      </c>
      <c r="F60" s="40">
        <v>0</v>
      </c>
      <c r="G60" s="779">
        <f t="shared" si="5"/>
        <v>56.167500000000004</v>
      </c>
      <c r="H60" s="783" t="s">
        <v>257</v>
      </c>
      <c r="I60" s="58"/>
    </row>
    <row r="61" spans="2:9" ht="51">
      <c r="B61" s="88"/>
      <c r="C61" s="40" t="s">
        <v>761</v>
      </c>
      <c r="D61" s="40">
        <v>56.1</v>
      </c>
      <c r="E61" s="40">
        <v>0.0027</v>
      </c>
      <c r="F61" s="40">
        <v>0.0001</v>
      </c>
      <c r="G61" s="779">
        <f t="shared" si="5"/>
        <v>56.197300000000006</v>
      </c>
      <c r="H61" s="783" t="s">
        <v>270</v>
      </c>
      <c r="I61" s="58"/>
    </row>
    <row r="62" spans="2:9" ht="25.5">
      <c r="B62" s="88"/>
      <c r="C62" s="40" t="s">
        <v>304</v>
      </c>
      <c r="D62" s="40">
        <v>56.1</v>
      </c>
      <c r="E62" s="40">
        <v>0.693</v>
      </c>
      <c r="F62" s="40">
        <v>0.0001</v>
      </c>
      <c r="G62" s="779">
        <f t="shared" si="5"/>
        <v>73.45479999999999</v>
      </c>
      <c r="H62" s="783" t="s">
        <v>611</v>
      </c>
      <c r="I62" s="58"/>
    </row>
    <row r="63" spans="2:9" ht="25.5">
      <c r="B63" s="88"/>
      <c r="C63" s="40" t="s">
        <v>305</v>
      </c>
      <c r="D63" s="40">
        <v>56.1</v>
      </c>
      <c r="E63" s="40">
        <v>0.597</v>
      </c>
      <c r="F63" s="40">
        <v>0.0001</v>
      </c>
      <c r="G63" s="779">
        <f t="shared" si="5"/>
        <v>71.0548</v>
      </c>
      <c r="H63" s="783" t="s">
        <v>611</v>
      </c>
      <c r="I63" s="58"/>
    </row>
    <row r="64" spans="2:9" ht="25.5">
      <c r="B64" s="88"/>
      <c r="C64" s="40" t="s">
        <v>306</v>
      </c>
      <c r="D64" s="40">
        <v>56.1</v>
      </c>
      <c r="E64" s="40">
        <v>0.11</v>
      </c>
      <c r="F64" s="40">
        <v>0.0001</v>
      </c>
      <c r="G64" s="779">
        <f t="shared" si="5"/>
        <v>58.8798</v>
      </c>
      <c r="H64" s="783" t="s">
        <v>611</v>
      </c>
      <c r="I64" s="58"/>
    </row>
    <row r="65" spans="2:9" ht="30.75" customHeight="1">
      <c r="B65" s="88"/>
      <c r="C65" s="42" t="s">
        <v>454</v>
      </c>
      <c r="D65" s="42"/>
      <c r="E65" s="42"/>
      <c r="F65" s="42"/>
      <c r="G65" s="185"/>
      <c r="H65" s="784"/>
      <c r="I65" s="58"/>
    </row>
    <row r="66" spans="2:9" ht="25.5">
      <c r="B66" s="88"/>
      <c r="C66" s="40" t="s">
        <v>405</v>
      </c>
      <c r="D66" s="262">
        <v>98.3</v>
      </c>
      <c r="E66" s="40">
        <v>0.01</v>
      </c>
      <c r="F66" s="40">
        <v>0.0015</v>
      </c>
      <c r="G66" s="779">
        <f>D66+25*E66+298*F66</f>
        <v>98.997</v>
      </c>
      <c r="H66" s="781" t="s">
        <v>271</v>
      </c>
      <c r="I66" s="58"/>
    </row>
    <row r="67" spans="2:9" ht="38.25">
      <c r="B67" s="88"/>
      <c r="C67" s="40" t="s">
        <v>772</v>
      </c>
      <c r="D67" s="262">
        <v>94.6</v>
      </c>
      <c r="E67" s="40">
        <v>0.001</v>
      </c>
      <c r="F67" s="40">
        <v>0.0007</v>
      </c>
      <c r="G67" s="779">
        <f aca="true" t="shared" si="6" ref="G67:G79">D67+25*E67+298*F67</f>
        <v>94.8336</v>
      </c>
      <c r="H67" s="781" t="s">
        <v>607</v>
      </c>
      <c r="I67" s="58"/>
    </row>
    <row r="68" spans="2:9" ht="38.25">
      <c r="B68" s="88"/>
      <c r="C68" s="40" t="s">
        <v>773</v>
      </c>
      <c r="D68" s="262">
        <v>94.6</v>
      </c>
      <c r="E68" s="40">
        <v>0.014</v>
      </c>
      <c r="F68" s="40">
        <v>0.0007</v>
      </c>
      <c r="G68" s="779">
        <f t="shared" si="6"/>
        <v>95.15859999999999</v>
      </c>
      <c r="H68" s="781" t="s">
        <v>607</v>
      </c>
      <c r="I68" s="58"/>
    </row>
    <row r="69" spans="2:9" ht="38.25">
      <c r="B69" s="88"/>
      <c r="C69" s="40" t="s">
        <v>774</v>
      </c>
      <c r="D69" s="262">
        <v>94.6</v>
      </c>
      <c r="E69" s="40">
        <v>0.0007</v>
      </c>
      <c r="F69" s="40">
        <v>0.0005</v>
      </c>
      <c r="G69" s="779">
        <f t="shared" si="6"/>
        <v>94.7665</v>
      </c>
      <c r="H69" s="781" t="s">
        <v>607</v>
      </c>
      <c r="I69" s="58"/>
    </row>
    <row r="70" spans="2:9" s="171" customFormat="1" ht="38.25">
      <c r="B70" s="88"/>
      <c r="C70" s="40" t="s">
        <v>775</v>
      </c>
      <c r="D70" s="262">
        <v>94.6</v>
      </c>
      <c r="E70" s="40">
        <v>0.0007</v>
      </c>
      <c r="F70" s="40">
        <v>0.0014</v>
      </c>
      <c r="G70" s="779">
        <f t="shared" si="6"/>
        <v>95.03469999999999</v>
      </c>
      <c r="H70" s="781" t="s">
        <v>607</v>
      </c>
      <c r="I70" s="98"/>
    </row>
    <row r="71" spans="2:9" ht="38.25">
      <c r="B71" s="88"/>
      <c r="C71" s="40" t="s">
        <v>776</v>
      </c>
      <c r="D71" s="262">
        <v>94.6</v>
      </c>
      <c r="E71" s="40">
        <v>0.0009</v>
      </c>
      <c r="F71" s="40">
        <v>0.0014</v>
      </c>
      <c r="G71" s="779">
        <f t="shared" si="6"/>
        <v>95.03969999999998</v>
      </c>
      <c r="H71" s="781" t="s">
        <v>607</v>
      </c>
      <c r="I71" s="58"/>
    </row>
    <row r="72" spans="2:9" ht="38.25">
      <c r="B72" s="88"/>
      <c r="C72" s="40" t="s">
        <v>777</v>
      </c>
      <c r="D72" s="262">
        <v>94.6</v>
      </c>
      <c r="E72" s="40">
        <v>0.001</v>
      </c>
      <c r="F72" s="40">
        <v>0.0007</v>
      </c>
      <c r="G72" s="779">
        <f t="shared" si="6"/>
        <v>94.8336</v>
      </c>
      <c r="H72" s="781" t="s">
        <v>607</v>
      </c>
      <c r="I72" s="58"/>
    </row>
    <row r="73" spans="2:9" s="171" customFormat="1" ht="38.25">
      <c r="B73" s="88"/>
      <c r="C73" s="40" t="s">
        <v>778</v>
      </c>
      <c r="D73" s="262">
        <v>94.6</v>
      </c>
      <c r="E73" s="40">
        <v>0.001</v>
      </c>
      <c r="F73" s="40">
        <v>0.061</v>
      </c>
      <c r="G73" s="779">
        <f t="shared" si="6"/>
        <v>112.803</v>
      </c>
      <c r="H73" s="781" t="s">
        <v>607</v>
      </c>
      <c r="I73" s="98"/>
    </row>
    <row r="74" spans="2:9" ht="38.25">
      <c r="B74" s="88"/>
      <c r="C74" s="40" t="s">
        <v>779</v>
      </c>
      <c r="D74" s="262">
        <v>96.1</v>
      </c>
      <c r="E74" s="40">
        <v>0.001</v>
      </c>
      <c r="F74" s="40">
        <v>0.0007</v>
      </c>
      <c r="G74" s="779">
        <f t="shared" si="6"/>
        <v>96.3336</v>
      </c>
      <c r="H74" s="781" t="s">
        <v>607</v>
      </c>
      <c r="I74" s="58"/>
    </row>
    <row r="75" spans="2:9" ht="38.25">
      <c r="B75" s="88"/>
      <c r="C75" s="40" t="s">
        <v>780</v>
      </c>
      <c r="D75" s="262">
        <v>96.1</v>
      </c>
      <c r="E75" s="40">
        <v>0.014</v>
      </c>
      <c r="F75" s="40">
        <v>0.0007</v>
      </c>
      <c r="G75" s="779">
        <f t="shared" si="6"/>
        <v>96.65859999999999</v>
      </c>
      <c r="H75" s="781" t="s">
        <v>607</v>
      </c>
      <c r="I75" s="58"/>
    </row>
    <row r="76" spans="2:9" ht="38.25">
      <c r="B76" s="88"/>
      <c r="C76" s="40" t="s">
        <v>612</v>
      </c>
      <c r="D76" s="262">
        <v>96.1</v>
      </c>
      <c r="E76" s="40">
        <v>0.0007</v>
      </c>
      <c r="F76" s="40">
        <v>0.0005</v>
      </c>
      <c r="G76" s="779">
        <f>D76+25*E76+298*F76</f>
        <v>96.2665</v>
      </c>
      <c r="H76" s="781" t="s">
        <v>607</v>
      </c>
      <c r="I76" s="58"/>
    </row>
    <row r="77" spans="2:9" ht="38.25">
      <c r="B77" s="88"/>
      <c r="C77" s="40" t="s">
        <v>781</v>
      </c>
      <c r="D77" s="262">
        <v>96.1</v>
      </c>
      <c r="E77" s="40">
        <v>0.001</v>
      </c>
      <c r="F77" s="40">
        <v>0.061</v>
      </c>
      <c r="G77" s="779">
        <f t="shared" si="6"/>
        <v>114.303</v>
      </c>
      <c r="H77" s="781" t="s">
        <v>607</v>
      </c>
      <c r="I77" s="58"/>
    </row>
    <row r="78" spans="2:9" ht="25.5">
      <c r="B78" s="88"/>
      <c r="C78" s="40" t="s">
        <v>782</v>
      </c>
      <c r="D78" s="262">
        <v>101</v>
      </c>
      <c r="E78" s="40">
        <v>0.01</v>
      </c>
      <c r="F78" s="40">
        <v>0.0015</v>
      </c>
      <c r="G78" s="779">
        <f t="shared" si="6"/>
        <v>101.697</v>
      </c>
      <c r="H78" s="781" t="s">
        <v>271</v>
      </c>
      <c r="I78" s="58"/>
    </row>
    <row r="79" spans="2:9" ht="25.5">
      <c r="B79" s="170"/>
      <c r="C79" s="168" t="s">
        <v>272</v>
      </c>
      <c r="D79" s="262">
        <v>106</v>
      </c>
      <c r="E79" s="168">
        <v>0.002</v>
      </c>
      <c r="F79" s="168">
        <v>0.0015</v>
      </c>
      <c r="G79" s="779">
        <f t="shared" si="6"/>
        <v>106.497</v>
      </c>
      <c r="H79" s="781" t="s">
        <v>271</v>
      </c>
      <c r="I79" s="58"/>
    </row>
    <row r="80" spans="2:9" ht="18" customHeight="1">
      <c r="B80" s="88"/>
      <c r="C80" s="42" t="s">
        <v>455</v>
      </c>
      <c r="D80" s="42"/>
      <c r="E80" s="42"/>
      <c r="F80" s="42"/>
      <c r="G80" s="185"/>
      <c r="H80" s="784"/>
      <c r="I80" s="58"/>
    </row>
    <row r="81" spans="2:9" ht="25.5">
      <c r="B81" s="88"/>
      <c r="C81" s="40" t="s">
        <v>421</v>
      </c>
      <c r="D81" s="40">
        <v>97.5</v>
      </c>
      <c r="E81" s="40">
        <v>0.003</v>
      </c>
      <c r="F81" s="40">
        <v>0.0006</v>
      </c>
      <c r="G81" s="779">
        <f>D81+25*E81+298*F81</f>
        <v>97.7538</v>
      </c>
      <c r="H81" s="781" t="s">
        <v>271</v>
      </c>
      <c r="I81" s="58"/>
    </row>
    <row r="82" spans="2:9" ht="25.5">
      <c r="B82" s="170"/>
      <c r="C82" s="168" t="s">
        <v>613</v>
      </c>
      <c r="D82" s="883">
        <v>107</v>
      </c>
      <c r="E82" s="168">
        <v>0.01</v>
      </c>
      <c r="F82" s="168">
        <v>0.0015</v>
      </c>
      <c r="G82" s="779">
        <f>D82+25*E82+298*F82</f>
        <v>107.697</v>
      </c>
      <c r="H82" s="781" t="s">
        <v>271</v>
      </c>
      <c r="I82" s="58"/>
    </row>
    <row r="83" spans="2:9" ht="25.5">
      <c r="B83" s="170"/>
      <c r="C83" s="168" t="s">
        <v>614</v>
      </c>
      <c r="D83" s="883">
        <v>107</v>
      </c>
      <c r="E83" s="168">
        <v>0.001</v>
      </c>
      <c r="F83" s="168">
        <v>0.0001</v>
      </c>
      <c r="G83" s="779">
        <f>D83+25*E83+298*F83</f>
        <v>107.0548</v>
      </c>
      <c r="H83" s="781" t="s">
        <v>271</v>
      </c>
      <c r="I83" s="58"/>
    </row>
    <row r="84" spans="2:9" ht="18" customHeight="1">
      <c r="B84" s="88"/>
      <c r="C84" s="42" t="s">
        <v>451</v>
      </c>
      <c r="D84" s="42"/>
      <c r="E84" s="42"/>
      <c r="F84" s="42"/>
      <c r="G84" s="185"/>
      <c r="H84" s="784"/>
      <c r="I84" s="58"/>
    </row>
    <row r="85" spans="2:9" ht="25.5">
      <c r="B85" s="88"/>
      <c r="C85" s="168" t="s">
        <v>615</v>
      </c>
      <c r="D85" s="169">
        <v>73.3</v>
      </c>
      <c r="E85" s="168">
        <v>0.003</v>
      </c>
      <c r="F85" s="168">
        <v>0.0006</v>
      </c>
      <c r="G85" s="779">
        <f>D85+25*E85+298*F85</f>
        <v>73.5538</v>
      </c>
      <c r="H85" s="781" t="s">
        <v>271</v>
      </c>
      <c r="I85" s="58"/>
    </row>
    <row r="86" spans="2:9" ht="25.5">
      <c r="B86" s="88"/>
      <c r="C86" s="168" t="s">
        <v>601</v>
      </c>
      <c r="D86" s="169">
        <v>80.7</v>
      </c>
      <c r="E86" s="168">
        <v>0.01</v>
      </c>
      <c r="F86" s="168">
        <v>0.0015</v>
      </c>
      <c r="G86" s="779">
        <f>D86+25*E86+298*F86</f>
        <v>81.397</v>
      </c>
      <c r="H86" s="781" t="s">
        <v>271</v>
      </c>
      <c r="I86" s="58"/>
    </row>
    <row r="87" spans="2:9" ht="25.5">
      <c r="B87" s="88"/>
      <c r="C87" s="168" t="s">
        <v>602</v>
      </c>
      <c r="D87" s="169">
        <v>73.3</v>
      </c>
      <c r="E87" s="168">
        <v>0.03</v>
      </c>
      <c r="F87" s="168">
        <v>0.004</v>
      </c>
      <c r="G87" s="779">
        <f>D87+25*E87+298*F87</f>
        <v>75.24199999999999</v>
      </c>
      <c r="H87" s="781" t="s">
        <v>271</v>
      </c>
      <c r="I87" s="58"/>
    </row>
    <row r="88" spans="2:9" ht="38.25">
      <c r="B88" s="88"/>
      <c r="C88" s="168" t="s">
        <v>616</v>
      </c>
      <c r="D88" s="169" t="s">
        <v>617</v>
      </c>
      <c r="E88" s="168"/>
      <c r="F88" s="168"/>
      <c r="G88" s="779"/>
      <c r="H88" s="781" t="s">
        <v>618</v>
      </c>
      <c r="I88" s="58"/>
    </row>
    <row r="89" spans="2:9" ht="38.25">
      <c r="B89" s="88"/>
      <c r="C89" s="40" t="s">
        <v>619</v>
      </c>
      <c r="D89" s="169">
        <v>85.77700174607135</v>
      </c>
      <c r="E89" s="40"/>
      <c r="F89" s="40"/>
      <c r="G89" s="779">
        <f>D89+25*E89+298*F89</f>
        <v>85.77700174607135</v>
      </c>
      <c r="H89" s="781" t="s">
        <v>620</v>
      </c>
      <c r="I89" s="58"/>
    </row>
    <row r="90" spans="2:9" ht="25.5">
      <c r="B90" s="88"/>
      <c r="C90" s="40" t="s">
        <v>621</v>
      </c>
      <c r="D90" s="40">
        <v>91.7</v>
      </c>
      <c r="E90" s="40">
        <v>0.03</v>
      </c>
      <c r="F90" s="40">
        <v>0.004</v>
      </c>
      <c r="G90" s="779">
        <f>D90+25*E90+298*F90</f>
        <v>93.642</v>
      </c>
      <c r="H90" s="781" t="s">
        <v>271</v>
      </c>
      <c r="I90" s="58"/>
    </row>
    <row r="91" spans="2:9" ht="18" customHeight="1">
      <c r="B91" s="88"/>
      <c r="C91" s="146" t="s">
        <v>560</v>
      </c>
      <c r="D91" s="146"/>
      <c r="E91" s="146"/>
      <c r="F91" s="146"/>
      <c r="G91" s="185"/>
      <c r="H91" s="784"/>
      <c r="I91" s="58"/>
    </row>
    <row r="92" spans="2:9" ht="85.5" customHeight="1">
      <c r="B92" s="88"/>
      <c r="C92" s="40" t="s">
        <v>556</v>
      </c>
      <c r="D92" s="40" t="s">
        <v>258</v>
      </c>
      <c r="E92" s="40">
        <v>0.012</v>
      </c>
      <c r="F92" s="40">
        <v>0.004</v>
      </c>
      <c r="G92" s="779">
        <f>25*E92+298*F92</f>
        <v>1.492</v>
      </c>
      <c r="H92" s="783" t="s">
        <v>274</v>
      </c>
      <c r="I92" s="58"/>
    </row>
    <row r="93" spans="2:9" ht="82.5" customHeight="1">
      <c r="B93" s="88"/>
      <c r="C93" s="40" t="s">
        <v>648</v>
      </c>
      <c r="D93" s="40" t="s">
        <v>258</v>
      </c>
      <c r="E93" s="40">
        <v>0.0025</v>
      </c>
      <c r="F93" s="40">
        <v>0.002</v>
      </c>
      <c r="G93" s="779">
        <f>25*E93+298*F93</f>
        <v>0.6585</v>
      </c>
      <c r="H93" s="783" t="s">
        <v>274</v>
      </c>
      <c r="I93" s="58"/>
    </row>
    <row r="94" spans="2:9" ht="63.75">
      <c r="B94" s="88"/>
      <c r="C94" s="40" t="s">
        <v>814</v>
      </c>
      <c r="D94" s="40" t="s">
        <v>258</v>
      </c>
      <c r="E94" s="40">
        <v>0.0027</v>
      </c>
      <c r="F94" s="40">
        <v>0</v>
      </c>
      <c r="G94" s="779">
        <f>25*E94+298*F94</f>
        <v>0.0675</v>
      </c>
      <c r="H94" s="783" t="s">
        <v>257</v>
      </c>
      <c r="I94" s="58"/>
    </row>
    <row r="95" spans="2:22" ht="12.75">
      <c r="B95" s="88"/>
      <c r="C95" s="130"/>
      <c r="D95" s="94"/>
      <c r="E95" s="157"/>
      <c r="F95" s="119"/>
      <c r="G95" s="119"/>
      <c r="H95" s="119"/>
      <c r="I95" s="788"/>
      <c r="J95" s="786"/>
      <c r="K95" s="786"/>
      <c r="L95" s="786"/>
      <c r="M95" s="786"/>
      <c r="N95" s="786"/>
      <c r="O95" s="786"/>
      <c r="P95" s="786"/>
      <c r="Q95" s="786"/>
      <c r="R95" s="1"/>
      <c r="S95" s="1"/>
      <c r="T95" s="1"/>
      <c r="U95" s="1"/>
      <c r="V95" s="1"/>
    </row>
    <row r="96" spans="2:22" ht="85.5" customHeight="1">
      <c r="B96" s="88"/>
      <c r="C96" s="782" t="s">
        <v>256</v>
      </c>
      <c r="D96" s="917" t="s">
        <v>603</v>
      </c>
      <c r="E96" s="955"/>
      <c r="F96" s="955"/>
      <c r="G96" s="955"/>
      <c r="H96" s="955"/>
      <c r="I96" s="788"/>
      <c r="J96" s="786"/>
      <c r="K96" s="786"/>
      <c r="L96" s="786"/>
      <c r="M96" s="786"/>
      <c r="N96" s="786"/>
      <c r="O96" s="786"/>
      <c r="P96" s="786"/>
      <c r="Q96" s="786"/>
      <c r="R96" s="1"/>
      <c r="S96" s="1"/>
      <c r="T96" s="1"/>
      <c r="U96" s="1"/>
      <c r="V96" s="1"/>
    </row>
    <row r="97" spans="2:22" ht="15" customHeight="1">
      <c r="B97" s="88"/>
      <c r="C97" s="782"/>
      <c r="D97" s="785"/>
      <c r="E97" s="882"/>
      <c r="F97" s="882"/>
      <c r="G97" s="882"/>
      <c r="H97" s="882"/>
      <c r="I97" s="788"/>
      <c r="J97" s="786"/>
      <c r="K97" s="786"/>
      <c r="L97" s="786"/>
      <c r="M97" s="786"/>
      <c r="N97" s="786"/>
      <c r="O97" s="786"/>
      <c r="P97" s="786"/>
      <c r="Q97" s="786"/>
      <c r="R97" s="1"/>
      <c r="S97" s="1"/>
      <c r="T97" s="1"/>
      <c r="U97" s="1"/>
      <c r="V97" s="1"/>
    </row>
    <row r="98" spans="2:22" ht="45" customHeight="1">
      <c r="B98" s="88"/>
      <c r="C98" s="782"/>
      <c r="D98" s="917" t="s">
        <v>269</v>
      </c>
      <c r="E98" s="937"/>
      <c r="F98" s="937"/>
      <c r="G98" s="937"/>
      <c r="H98" s="937"/>
      <c r="I98" s="788"/>
      <c r="J98" s="786"/>
      <c r="K98" s="786"/>
      <c r="L98" s="786"/>
      <c r="M98" s="786"/>
      <c r="N98" s="786"/>
      <c r="O98" s="786"/>
      <c r="P98" s="786"/>
      <c r="Q98" s="786"/>
      <c r="R98" s="1"/>
      <c r="S98" s="1"/>
      <c r="T98" s="1"/>
      <c r="U98" s="1"/>
      <c r="V98" s="1"/>
    </row>
    <row r="99" spans="2:22" ht="12" customHeight="1">
      <c r="B99" s="88"/>
      <c r="C99" s="782"/>
      <c r="D99" s="785"/>
      <c r="E99" s="882"/>
      <c r="F99" s="882"/>
      <c r="G99" s="882"/>
      <c r="H99" s="882"/>
      <c r="I99" s="788"/>
      <c r="J99" s="786"/>
      <c r="K99" s="786"/>
      <c r="L99" s="786"/>
      <c r="M99" s="786"/>
      <c r="N99" s="786"/>
      <c r="O99" s="786"/>
      <c r="P99" s="786"/>
      <c r="Q99" s="786"/>
      <c r="R99" s="1"/>
      <c r="S99" s="1"/>
      <c r="T99" s="1"/>
      <c r="U99" s="1"/>
      <c r="V99" s="1"/>
    </row>
    <row r="100" spans="2:22" ht="36.75" customHeight="1">
      <c r="B100" s="88"/>
      <c r="C100" s="130"/>
      <c r="D100" s="917" t="s">
        <v>273</v>
      </c>
      <c r="E100" s="937"/>
      <c r="F100" s="937"/>
      <c r="G100" s="937"/>
      <c r="H100" s="937"/>
      <c r="I100" s="788"/>
      <c r="J100" s="786"/>
      <c r="K100" s="786"/>
      <c r="L100" s="786"/>
      <c r="M100" s="786"/>
      <c r="N100" s="786"/>
      <c r="O100" s="786"/>
      <c r="P100" s="786"/>
      <c r="Q100" s="786"/>
      <c r="R100" s="1"/>
      <c r="S100" s="1"/>
      <c r="T100" s="1"/>
      <c r="U100" s="1"/>
      <c r="V100" s="1"/>
    </row>
    <row r="101" spans="2:22" ht="13.5" thickBot="1">
      <c r="B101" s="91"/>
      <c r="C101" s="92"/>
      <c r="D101" s="92"/>
      <c r="E101" s="158"/>
      <c r="F101" s="158"/>
      <c r="G101" s="158"/>
      <c r="H101" s="92"/>
      <c r="I101" s="789"/>
      <c r="J101" s="787"/>
      <c r="K101" s="787"/>
      <c r="L101" s="787"/>
      <c r="M101" s="787"/>
      <c r="N101" s="787"/>
      <c r="O101" s="787"/>
      <c r="P101" s="787"/>
      <c r="Q101" s="787"/>
      <c r="R101" s="1"/>
      <c r="S101" s="1"/>
      <c r="T101" s="1"/>
      <c r="U101" s="1"/>
      <c r="V101" s="1"/>
    </row>
    <row r="102" ht="13.5" thickTop="1"/>
  </sheetData>
  <sheetProtection password="CD08" sheet="1" objects="1" scenarios="1"/>
  <mergeCells count="17">
    <mergeCell ref="D100:H100"/>
    <mergeCell ref="B11:C11"/>
    <mergeCell ref="C4:G4"/>
    <mergeCell ref="C6:K6"/>
    <mergeCell ref="B9:C9"/>
    <mergeCell ref="B10:C10"/>
    <mergeCell ref="F15:H15"/>
    <mergeCell ref="I15:L15"/>
    <mergeCell ref="D96:H96"/>
    <mergeCell ref="F19:H19"/>
    <mergeCell ref="D44:G45"/>
    <mergeCell ref="D98:H98"/>
    <mergeCell ref="G37:H37"/>
    <mergeCell ref="G38:H38"/>
    <mergeCell ref="G39:H39"/>
    <mergeCell ref="C42:H42"/>
    <mergeCell ref="D46:G46"/>
  </mergeCells>
  <printOptions horizontalCentered="1" verticalCentered="1"/>
  <pageMargins left="0.75" right="0.75" top="0.27" bottom="0.42" header="0.19" footer="0.33"/>
  <pageSetup fitToHeight="3" fitToWidth="1" horizontalDpi="600" verticalDpi="600" orientation="portrait" scale="33" r:id="rId1"/>
  <headerFooter alignWithMargins="0">
    <oddHeader>&amp;L&amp;D&amp;R&amp;F</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CJ116"/>
  <sheetViews>
    <sheetView zoomScalePageLayoutView="0" workbookViewId="0" topLeftCell="A1">
      <selection activeCell="A1" sqref="A1"/>
    </sheetView>
  </sheetViews>
  <sheetFormatPr defaultColWidth="9.140625" defaultRowHeight="12.75"/>
  <cols>
    <col min="1" max="1" width="3.57421875" style="307" customWidth="1"/>
    <col min="2" max="2" width="3.140625" style="307" customWidth="1"/>
    <col min="3" max="3" width="38.28125" style="307" customWidth="1"/>
    <col min="4" max="4" width="23.7109375" style="308" customWidth="1"/>
    <col min="5" max="5" width="18.421875" style="307" customWidth="1"/>
    <col min="6" max="6" width="23.28125" style="307" customWidth="1"/>
    <col min="7" max="7" width="20.28125" style="307" customWidth="1"/>
    <col min="8" max="8" width="19.00390625" style="307" customWidth="1"/>
    <col min="9" max="9" width="19.00390625" style="308" customWidth="1"/>
    <col min="10" max="10" width="20.140625" style="307" customWidth="1"/>
    <col min="11" max="11" width="20.57421875" style="307" customWidth="1"/>
    <col min="12" max="12" width="19.8515625" style="309" customWidth="1"/>
    <col min="13" max="13" width="22.421875" style="307" customWidth="1"/>
    <col min="14" max="14" width="21.7109375" style="307" customWidth="1"/>
    <col min="15" max="15" width="20.28125" style="307" customWidth="1"/>
    <col min="16" max="16" width="21.8515625" style="307" customWidth="1"/>
    <col min="17" max="17" width="21.00390625" style="307" customWidth="1"/>
    <col min="18" max="18" width="19.7109375" style="307" customWidth="1"/>
    <col min="19" max="19" width="14.421875" style="307" customWidth="1"/>
    <col min="20" max="20" width="17.28125" style="307" customWidth="1"/>
    <col min="21" max="21" width="34.00390625" style="307" customWidth="1"/>
    <col min="22" max="22" width="24.140625" style="307" customWidth="1"/>
    <col min="23" max="23" width="38.28125" style="307" customWidth="1"/>
    <col min="24" max="24" width="28.7109375" style="307" customWidth="1"/>
    <col min="25" max="25" width="28.140625" style="307" customWidth="1"/>
    <col min="26" max="26" width="24.140625" style="307" customWidth="1"/>
    <col min="27" max="27" width="28.7109375" style="307" customWidth="1"/>
    <col min="28" max="28" width="25.8515625" style="307" customWidth="1"/>
    <col min="29" max="29" width="29.7109375" style="307" customWidth="1"/>
    <col min="30" max="30" width="33.140625" style="307" customWidth="1"/>
    <col min="31" max="31" width="9.140625" style="307" customWidth="1"/>
    <col min="32" max="32" width="15.421875" style="307" customWidth="1"/>
    <col min="33" max="33" width="14.8515625" style="307" customWidth="1"/>
    <col min="34" max="34" width="9.140625" style="307" customWidth="1"/>
    <col min="35" max="35" width="10.421875" style="307" customWidth="1"/>
    <col min="36" max="36" width="10.7109375" style="307" customWidth="1"/>
    <col min="37" max="37" width="15.57421875" style="307" customWidth="1"/>
    <col min="38" max="16384" width="9.140625" style="307" customWidth="1"/>
  </cols>
  <sheetData>
    <row r="1" spans="2:14" s="4" customFormat="1" ht="30" customHeight="1">
      <c r="B1" s="274"/>
      <c r="C1" s="512" t="s">
        <v>729</v>
      </c>
      <c r="D1" s="273"/>
      <c r="E1" s="273"/>
      <c r="F1" s="273"/>
      <c r="G1" s="273"/>
      <c r="H1" s="305"/>
      <c r="I1" s="305"/>
      <c r="J1" s="305"/>
      <c r="K1" s="305"/>
      <c r="L1" s="305"/>
      <c r="M1" s="305"/>
      <c r="N1" s="305"/>
    </row>
    <row r="2" spans="2:14" s="4" customFormat="1" ht="16.5" customHeight="1">
      <c r="B2" s="274"/>
      <c r="C2" s="15" t="s">
        <v>314</v>
      </c>
      <c r="D2" s="273"/>
      <c r="E2" s="273"/>
      <c r="F2" s="273"/>
      <c r="G2" s="273"/>
      <c r="H2" s="305"/>
      <c r="I2" s="305"/>
      <c r="J2" s="305"/>
      <c r="K2" s="305"/>
      <c r="L2" s="305"/>
      <c r="M2" s="305"/>
      <c r="N2" s="305"/>
    </row>
    <row r="3" spans="2:14" s="4" customFormat="1" ht="16.5" customHeight="1">
      <c r="B3" s="274"/>
      <c r="C3" s="15"/>
      <c r="D3" s="273"/>
      <c r="E3" s="273"/>
      <c r="F3" s="273"/>
      <c r="G3" s="273"/>
      <c r="H3" s="305"/>
      <c r="I3" s="305"/>
      <c r="J3" s="305"/>
      <c r="K3" s="305"/>
      <c r="L3" s="305"/>
      <c r="M3" s="305"/>
      <c r="N3" s="305"/>
    </row>
    <row r="4" spans="2:14" s="4" customFormat="1" ht="30" customHeight="1">
      <c r="B4" s="274"/>
      <c r="C4" s="946" t="s">
        <v>355</v>
      </c>
      <c r="D4" s="947"/>
      <c r="E4" s="947"/>
      <c r="F4" s="947"/>
      <c r="G4" s="947"/>
      <c r="H4" s="947"/>
      <c r="I4" s="948"/>
      <c r="J4" s="948"/>
      <c r="K4" s="949"/>
      <c r="L4" s="305"/>
      <c r="M4" s="305"/>
      <c r="N4" s="305"/>
    </row>
    <row r="5" ht="18" customHeight="1"/>
    <row r="6" spans="3:14" ht="175.5" customHeight="1">
      <c r="C6" s="962" t="s">
        <v>323</v>
      </c>
      <c r="D6" s="920"/>
      <c r="E6" s="920"/>
      <c r="F6" s="920"/>
      <c r="G6" s="920"/>
      <c r="H6" s="920"/>
      <c r="I6" s="920"/>
      <c r="J6" s="920"/>
      <c r="K6" s="920"/>
      <c r="L6" s="920"/>
      <c r="M6" s="306"/>
      <c r="N6" s="306"/>
    </row>
    <row r="7" spans="3:14" ht="19.5" customHeight="1" thickBot="1">
      <c r="C7" s="363"/>
      <c r="D7" s="305"/>
      <c r="E7" s="305"/>
      <c r="F7" s="305"/>
      <c r="G7" s="305"/>
      <c r="H7" s="305"/>
      <c r="I7" s="510"/>
      <c r="J7" s="305"/>
      <c r="K7" s="305"/>
      <c r="L7" s="305"/>
      <c r="M7" s="306"/>
      <c r="N7" s="306"/>
    </row>
    <row r="8" spans="2:14" ht="19.5" customHeight="1" thickTop="1">
      <c r="B8" s="504" t="s">
        <v>307</v>
      </c>
      <c r="C8" s="498"/>
      <c r="D8" s="499"/>
      <c r="E8" s="500"/>
      <c r="F8" s="500"/>
      <c r="G8" s="500"/>
      <c r="H8" s="495"/>
      <c r="I8" s="684"/>
      <c r="J8" s="305"/>
      <c r="K8" s="305"/>
      <c r="L8" s="305"/>
      <c r="M8" s="306"/>
      <c r="N8" s="306"/>
    </row>
    <row r="9" spans="2:14" ht="14.25" customHeight="1">
      <c r="B9" s="943" t="s">
        <v>557</v>
      </c>
      <c r="C9" s="944"/>
      <c r="D9" s="160"/>
      <c r="E9" s="167"/>
      <c r="F9" s="167"/>
      <c r="G9" s="167"/>
      <c r="H9" s="1"/>
      <c r="I9" s="685"/>
      <c r="J9" s="305"/>
      <c r="K9" s="305"/>
      <c r="L9" s="305"/>
      <c r="M9" s="306"/>
      <c r="N9" s="306"/>
    </row>
    <row r="10" spans="2:14" ht="14.25" customHeight="1">
      <c r="B10" s="943" t="s">
        <v>558</v>
      </c>
      <c r="C10" s="944"/>
      <c r="D10" s="481" t="s">
        <v>783</v>
      </c>
      <c r="E10" s="2" t="s">
        <v>429</v>
      </c>
      <c r="F10" s="167"/>
      <c r="G10" s="167"/>
      <c r="H10" s="1"/>
      <c r="I10" s="685"/>
      <c r="J10" s="305"/>
      <c r="K10" s="305"/>
      <c r="L10" s="305"/>
      <c r="M10" s="306"/>
      <c r="N10" s="306"/>
    </row>
    <row r="11" spans="2:14" ht="13.5" customHeight="1">
      <c r="B11" s="943" t="s">
        <v>649</v>
      </c>
      <c r="C11" s="944"/>
      <c r="D11" s="162"/>
      <c r="E11" s="167"/>
      <c r="F11" s="167"/>
      <c r="G11" s="167"/>
      <c r="H11" s="1"/>
      <c r="I11" s="685"/>
      <c r="J11" s="305"/>
      <c r="K11" s="305"/>
      <c r="L11" s="305"/>
      <c r="M11" s="306"/>
      <c r="N11" s="306"/>
    </row>
    <row r="12" spans="2:14" ht="14.25" customHeight="1">
      <c r="B12" s="943" t="s">
        <v>399</v>
      </c>
      <c r="C12" s="944"/>
      <c r="D12" s="163"/>
      <c r="E12" s="167"/>
      <c r="F12" s="167"/>
      <c r="G12" s="167"/>
      <c r="H12" s="1"/>
      <c r="I12" s="685"/>
      <c r="J12" s="305"/>
      <c r="K12" s="305"/>
      <c r="L12" s="305"/>
      <c r="M12" s="306"/>
      <c r="N12" s="306"/>
    </row>
    <row r="13" spans="2:14" ht="19.5" customHeight="1" thickBot="1">
      <c r="B13" s="517"/>
      <c r="C13" s="509"/>
      <c r="D13" s="364"/>
      <c r="E13" s="510"/>
      <c r="F13" s="510"/>
      <c r="G13" s="510"/>
      <c r="H13" s="510"/>
      <c r="I13" s="511"/>
      <c r="J13" s="305"/>
      <c r="K13" s="305"/>
      <c r="L13" s="305"/>
      <c r="M13" s="306"/>
      <c r="N13" s="306"/>
    </row>
    <row r="14" spans="2:20" ht="12.75" customHeight="1" thickBot="1" thickTop="1">
      <c r="B14" s="424"/>
      <c r="C14" s="424"/>
      <c r="D14" s="425"/>
      <c r="E14" s="424"/>
      <c r="F14" s="424"/>
      <c r="G14" s="424"/>
      <c r="H14" s="424"/>
      <c r="I14" s="425"/>
      <c r="J14" s="424"/>
      <c r="K14" s="424"/>
      <c r="L14" s="426"/>
      <c r="M14" s="424"/>
      <c r="N14" s="424"/>
      <c r="O14" s="424"/>
      <c r="P14" s="424"/>
      <c r="Q14" s="424"/>
      <c r="R14" s="424"/>
      <c r="T14" s="424"/>
    </row>
    <row r="15" spans="1:20" s="310" customFormat="1" ht="10.5" customHeight="1" thickTop="1">
      <c r="A15" s="415"/>
      <c r="B15" s="562"/>
      <c r="C15" s="563"/>
      <c r="D15" s="563"/>
      <c r="E15" s="564"/>
      <c r="F15" s="563"/>
      <c r="G15" s="563"/>
      <c r="H15" s="563"/>
      <c r="I15" s="563"/>
      <c r="J15" s="564"/>
      <c r="K15" s="563"/>
      <c r="L15" s="563"/>
      <c r="M15" s="565"/>
      <c r="N15" s="563"/>
      <c r="O15" s="393"/>
      <c r="P15" s="427"/>
      <c r="Q15" s="394"/>
      <c r="R15" s="394"/>
      <c r="S15" s="563"/>
      <c r="T15" s="427"/>
    </row>
    <row r="16" spans="1:20" s="310" customFormat="1" ht="21.75" customHeight="1">
      <c r="A16" s="415"/>
      <c r="B16" s="566" t="s">
        <v>235</v>
      </c>
      <c r="C16" s="393"/>
      <c r="D16" s="393"/>
      <c r="E16" s="395"/>
      <c r="F16" s="393"/>
      <c r="G16" s="393"/>
      <c r="H16" s="393"/>
      <c r="I16" s="393"/>
      <c r="J16" s="395"/>
      <c r="K16" s="393"/>
      <c r="L16" s="393"/>
      <c r="M16" s="396"/>
      <c r="N16" s="393"/>
      <c r="O16" s="393"/>
      <c r="P16" s="428"/>
      <c r="Q16" s="394"/>
      <c r="R16" s="394"/>
      <c r="S16" s="393"/>
      <c r="T16" s="428"/>
    </row>
    <row r="17" spans="1:20" s="311" customFormat="1" ht="6" customHeight="1">
      <c r="A17" s="415"/>
      <c r="B17" s="567"/>
      <c r="C17" s="393"/>
      <c r="D17" s="393"/>
      <c r="E17" s="395"/>
      <c r="F17" s="393"/>
      <c r="G17" s="393"/>
      <c r="H17" s="393"/>
      <c r="I17" s="393"/>
      <c r="J17" s="395"/>
      <c r="K17" s="393"/>
      <c r="L17" s="393"/>
      <c r="M17" s="396"/>
      <c r="N17" s="393"/>
      <c r="O17" s="393"/>
      <c r="P17" s="428"/>
      <c r="Q17" s="393"/>
      <c r="R17" s="393"/>
      <c r="S17" s="393"/>
      <c r="T17" s="428"/>
    </row>
    <row r="18" spans="1:20" s="312" customFormat="1" ht="21.75" customHeight="1">
      <c r="A18" s="416"/>
      <c r="B18" s="568" t="s">
        <v>823</v>
      </c>
      <c r="C18" s="397"/>
      <c r="D18" s="397"/>
      <c r="E18" s="398"/>
      <c r="F18" s="399"/>
      <c r="G18" s="400"/>
      <c r="H18" s="400"/>
      <c r="I18" s="400"/>
      <c r="J18" s="401"/>
      <c r="K18" s="400"/>
      <c r="L18" s="400"/>
      <c r="M18" s="402"/>
      <c r="N18" s="400"/>
      <c r="O18" s="400"/>
      <c r="P18" s="697">
        <f>IF(AND(Q21&gt;0,Q23&gt;0),"Enter mpg OR l/100km, not both!","")</f>
      </c>
      <c r="Q18" s="399"/>
      <c r="R18" s="399"/>
      <c r="S18" s="399"/>
      <c r="T18" s="429"/>
    </row>
    <row r="19" spans="1:31" s="314" customFormat="1" ht="12.75" customHeight="1">
      <c r="A19" s="417"/>
      <c r="B19" s="569" t="s">
        <v>824</v>
      </c>
      <c r="C19" s="405"/>
      <c r="D19" s="403"/>
      <c r="E19" s="404"/>
      <c r="F19" s="405"/>
      <c r="G19" s="405"/>
      <c r="H19" s="405"/>
      <c r="I19" s="405"/>
      <c r="J19" s="406"/>
      <c r="K19" s="405"/>
      <c r="L19" s="405"/>
      <c r="M19" s="407"/>
      <c r="N19" s="407"/>
      <c r="O19" s="407"/>
      <c r="P19" s="430"/>
      <c r="Q19" s="696" t="s">
        <v>825</v>
      </c>
      <c r="R19" s="695"/>
      <c r="S19" s="539"/>
      <c r="T19" s="430"/>
      <c r="U19" s="313"/>
      <c r="V19" s="313"/>
      <c r="W19" s="313"/>
      <c r="X19" s="313"/>
      <c r="Y19" s="313"/>
      <c r="Z19" s="313"/>
      <c r="AA19" s="313"/>
      <c r="AB19" s="313"/>
      <c r="AC19" s="313"/>
      <c r="AD19" s="313"/>
      <c r="AE19" s="313"/>
    </row>
    <row r="20" spans="1:88" s="315" customFormat="1" ht="14.25" customHeight="1" thickBot="1">
      <c r="A20" s="418"/>
      <c r="B20" s="570"/>
      <c r="C20" s="410"/>
      <c r="D20" s="365" t="s">
        <v>447</v>
      </c>
      <c r="E20" s="365" t="s">
        <v>448</v>
      </c>
      <c r="F20" s="367" t="s">
        <v>401</v>
      </c>
      <c r="G20" s="365" t="s">
        <v>407</v>
      </c>
      <c r="H20" s="365" t="s">
        <v>402</v>
      </c>
      <c r="I20" s="366" t="s">
        <v>826</v>
      </c>
      <c r="J20" s="366" t="s">
        <v>827</v>
      </c>
      <c r="K20" s="367" t="s">
        <v>406</v>
      </c>
      <c r="L20" s="366" t="s">
        <v>828</v>
      </c>
      <c r="M20" s="366" t="s">
        <v>829</v>
      </c>
      <c r="N20" s="571" t="s">
        <v>449</v>
      </c>
      <c r="O20" s="571" t="s">
        <v>450</v>
      </c>
      <c r="P20" s="431"/>
      <c r="Q20" s="559">
        <v>1000</v>
      </c>
      <c r="R20" s="551" t="s">
        <v>830</v>
      </c>
      <c r="S20" s="540" t="s">
        <v>325</v>
      </c>
      <c r="T20" s="431"/>
      <c r="U20" s="317"/>
      <c r="V20" s="317"/>
      <c r="W20" s="317"/>
      <c r="X20" s="317"/>
      <c r="Y20" s="317"/>
      <c r="Z20" s="317"/>
      <c r="AA20" s="317"/>
      <c r="AB20" s="317"/>
      <c r="AC20" s="317"/>
      <c r="AD20" s="317"/>
      <c r="AE20" s="317"/>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8"/>
    </row>
    <row r="21" spans="1:88" s="320" customFormat="1" ht="13.5" thickBot="1" thickTop="1">
      <c r="A21" s="419"/>
      <c r="B21" s="443"/>
      <c r="C21" s="411"/>
      <c r="D21" s="368"/>
      <c r="E21" s="963" t="s">
        <v>428</v>
      </c>
      <c r="F21" s="369" t="s">
        <v>831</v>
      </c>
      <c r="G21" s="370"/>
      <c r="H21" s="371"/>
      <c r="I21" s="372" t="s">
        <v>832</v>
      </c>
      <c r="J21" s="370"/>
      <c r="K21" s="373"/>
      <c r="L21" s="372" t="s">
        <v>833</v>
      </c>
      <c r="M21" s="371"/>
      <c r="N21" s="374" t="s">
        <v>446</v>
      </c>
      <c r="O21" s="374" t="s">
        <v>349</v>
      </c>
      <c r="P21" s="572"/>
      <c r="Q21" s="560">
        <v>0</v>
      </c>
      <c r="R21" s="553" t="s">
        <v>834</v>
      </c>
      <c r="S21" s="540"/>
      <c r="T21" s="432"/>
      <c r="U21" s="319"/>
      <c r="V21" s="319"/>
      <c r="W21" s="319"/>
      <c r="X21" s="319"/>
      <c r="Y21" s="319"/>
      <c r="Z21" s="319"/>
      <c r="AA21" s="319"/>
      <c r="AB21" s="319"/>
      <c r="AC21" s="319"/>
      <c r="AD21" s="319"/>
      <c r="AE21" s="319"/>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307"/>
      <c r="BN21" s="307"/>
      <c r="BO21" s="307"/>
      <c r="BP21" s="307"/>
      <c r="BQ21" s="307"/>
      <c r="BR21" s="307"/>
      <c r="BS21" s="307"/>
      <c r="BT21" s="307"/>
      <c r="BU21" s="307"/>
      <c r="BV21" s="307"/>
      <c r="BW21" s="307"/>
      <c r="BX21" s="307"/>
      <c r="BY21" s="307"/>
      <c r="BZ21" s="307"/>
      <c r="CA21" s="307"/>
      <c r="CB21" s="307"/>
      <c r="CC21" s="307"/>
      <c r="CD21" s="307"/>
      <c r="CE21" s="307"/>
      <c r="CF21" s="307"/>
      <c r="CG21" s="307"/>
      <c r="CH21" s="307"/>
      <c r="CI21" s="307"/>
      <c r="CJ21" s="307"/>
    </row>
    <row r="22" spans="1:88" s="320" customFormat="1" ht="12.75" thickBot="1">
      <c r="A22" s="419"/>
      <c r="B22" s="443"/>
      <c r="C22" s="411"/>
      <c r="D22" s="375"/>
      <c r="E22" s="964"/>
      <c r="F22" s="376"/>
      <c r="G22" s="377" t="s">
        <v>835</v>
      </c>
      <c r="H22" s="377"/>
      <c r="I22" s="372" t="s">
        <v>836</v>
      </c>
      <c r="J22" s="371"/>
      <c r="K22" s="378" t="s">
        <v>837</v>
      </c>
      <c r="L22" s="372" t="s">
        <v>691</v>
      </c>
      <c r="M22" s="371"/>
      <c r="N22" s="374" t="s">
        <v>838</v>
      </c>
      <c r="O22" s="374" t="s">
        <v>838</v>
      </c>
      <c r="P22" s="572"/>
      <c r="Q22" s="413"/>
      <c r="R22" s="316" t="s">
        <v>840</v>
      </c>
      <c r="S22" s="540" t="s">
        <v>326</v>
      </c>
      <c r="T22" s="432"/>
      <c r="U22" s="319"/>
      <c r="V22" s="319"/>
      <c r="W22" s="319"/>
      <c r="X22" s="319"/>
      <c r="Y22" s="319"/>
      <c r="Z22" s="319"/>
      <c r="AA22" s="319"/>
      <c r="AB22" s="319"/>
      <c r="AC22" s="319"/>
      <c r="AD22" s="319"/>
      <c r="AE22" s="319"/>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row>
    <row r="23" spans="1:88" s="320" customFormat="1" ht="14.25" customHeight="1" thickBot="1">
      <c r="A23" s="419"/>
      <c r="B23" s="443"/>
      <c r="C23" s="411"/>
      <c r="D23" s="375"/>
      <c r="E23" s="964"/>
      <c r="F23" s="379" t="s">
        <v>841</v>
      </c>
      <c r="G23" s="380" t="s">
        <v>842</v>
      </c>
      <c r="H23" s="380" t="s">
        <v>842</v>
      </c>
      <c r="I23" s="380" t="s">
        <v>0</v>
      </c>
      <c r="J23" s="380" t="s">
        <v>1</v>
      </c>
      <c r="K23" s="378" t="s">
        <v>2</v>
      </c>
      <c r="L23" s="380" t="s">
        <v>0</v>
      </c>
      <c r="M23" s="380" t="s">
        <v>1</v>
      </c>
      <c r="N23" s="374" t="s">
        <v>232</v>
      </c>
      <c r="O23" s="374" t="s">
        <v>233</v>
      </c>
      <c r="P23" s="572"/>
      <c r="Q23" s="561">
        <v>30</v>
      </c>
      <c r="R23" s="552" t="s">
        <v>3</v>
      </c>
      <c r="S23" s="540"/>
      <c r="T23" s="432"/>
      <c r="U23" s="319"/>
      <c r="V23" s="319"/>
      <c r="W23" s="319"/>
      <c r="X23" s="319"/>
      <c r="Y23" s="319"/>
      <c r="Z23" s="319"/>
      <c r="AA23" s="319"/>
      <c r="AB23" s="319"/>
      <c r="AC23" s="319"/>
      <c r="AD23" s="319"/>
      <c r="AE23" s="319"/>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row>
    <row r="24" spans="1:88" s="320" customFormat="1" ht="22.5" customHeight="1" thickBot="1" thickTop="1">
      <c r="A24" s="419"/>
      <c r="B24" s="443"/>
      <c r="C24" s="411"/>
      <c r="D24" s="690" t="s">
        <v>4</v>
      </c>
      <c r="E24" s="965"/>
      <c r="F24" s="379" t="s">
        <v>5</v>
      </c>
      <c r="G24" s="381" t="s">
        <v>6</v>
      </c>
      <c r="H24" s="381" t="s">
        <v>7</v>
      </c>
      <c r="I24" s="381" t="s">
        <v>55</v>
      </c>
      <c r="J24" s="381" t="s">
        <v>55</v>
      </c>
      <c r="K24" s="382" t="s">
        <v>8</v>
      </c>
      <c r="L24" s="381" t="s">
        <v>56</v>
      </c>
      <c r="M24" s="381" t="s">
        <v>56</v>
      </c>
      <c r="N24" s="383" t="s">
        <v>54</v>
      </c>
      <c r="O24" s="383" t="s">
        <v>54</v>
      </c>
      <c r="P24" s="573"/>
      <c r="Q24" s="722">
        <f>IF(AND(Q21&gt;0,Q23&gt;0),"Error",IF(Q21&gt;0,Q20/Q21,Q20/100*Q23))</f>
        <v>300</v>
      </c>
      <c r="R24" s="551" t="str">
        <f>IF(Q21&gt;0,"Gallons used","litres used")</f>
        <v>litres used</v>
      </c>
      <c r="S24" s="540" t="s">
        <v>327</v>
      </c>
      <c r="T24" s="432"/>
      <c r="U24" s="319"/>
      <c r="V24" s="319"/>
      <c r="W24" s="319"/>
      <c r="X24" s="319"/>
      <c r="Y24" s="319"/>
      <c r="Z24" s="319"/>
      <c r="AA24" s="319"/>
      <c r="AB24" s="319"/>
      <c r="AC24" s="319"/>
      <c r="AD24" s="319"/>
      <c r="AE24" s="319"/>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7"/>
      <c r="BK24" s="307"/>
      <c r="BL24" s="307"/>
      <c r="BM24" s="307"/>
      <c r="BN24" s="307"/>
      <c r="BO24" s="307"/>
      <c r="BP24" s="307"/>
      <c r="BQ24" s="307"/>
      <c r="BR24" s="307"/>
      <c r="BS24" s="307"/>
      <c r="BT24" s="307"/>
      <c r="BU24" s="307"/>
      <c r="BV24" s="307"/>
      <c r="BW24" s="307"/>
      <c r="BX24" s="307"/>
      <c r="BY24" s="307"/>
      <c r="BZ24" s="307"/>
      <c r="CA24" s="307"/>
      <c r="CB24" s="307"/>
      <c r="CC24" s="307"/>
      <c r="CD24" s="307"/>
      <c r="CE24" s="307"/>
      <c r="CF24" s="307"/>
      <c r="CG24" s="307"/>
      <c r="CH24" s="307"/>
      <c r="CI24" s="307"/>
      <c r="CJ24" s="307"/>
    </row>
    <row r="25" spans="1:87" s="321" customFormat="1" ht="20.25" customHeight="1" thickBot="1" thickTop="1">
      <c r="A25" s="420"/>
      <c r="B25" s="574"/>
      <c r="C25" s="385" t="s">
        <v>9</v>
      </c>
      <c r="D25" s="384"/>
      <c r="E25" s="691"/>
      <c r="F25" s="386"/>
      <c r="G25" s="387"/>
      <c r="H25" s="387"/>
      <c r="I25" s="384"/>
      <c r="J25" s="384"/>
      <c r="K25" s="388">
        <f>SUM(K27:K41)</f>
        <v>0</v>
      </c>
      <c r="L25" s="384"/>
      <c r="M25" s="389"/>
      <c r="N25" s="390">
        <f>SUM(N27:N41)</f>
        <v>0</v>
      </c>
      <c r="O25" s="390">
        <f>SUM(O27:O41)</f>
        <v>0</v>
      </c>
      <c r="P25" s="433"/>
      <c r="Q25" s="414">
        <f>IF(AND(Q21&gt;0,Q23&gt;0),"Enter mpg OR l/100km, not both!","")</f>
      </c>
      <c r="R25" s="409"/>
      <c r="S25" s="409"/>
      <c r="T25" s="433"/>
      <c r="U25" s="661"/>
      <c r="V25" s="541"/>
      <c r="W25" s="542"/>
      <c r="X25" s="543"/>
      <c r="Y25" s="544"/>
      <c r="Z25" s="544"/>
      <c r="AA25" s="545"/>
      <c r="AB25" s="546"/>
      <c r="AC25" s="544"/>
      <c r="AD25" s="547"/>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row>
    <row r="26" spans="1:30" s="323" customFormat="1" ht="15" customHeight="1" thickBot="1">
      <c r="A26" s="421"/>
      <c r="B26" s="575"/>
      <c r="C26" s="576" t="s">
        <v>315</v>
      </c>
      <c r="D26" s="518" t="s">
        <v>10</v>
      </c>
      <c r="E26" s="518">
        <v>0.8</v>
      </c>
      <c r="F26" s="519">
        <v>30000</v>
      </c>
      <c r="G26" s="520" t="s">
        <v>11</v>
      </c>
      <c r="H26" s="521" t="s">
        <v>12</v>
      </c>
      <c r="I26" s="522">
        <v>0.13020400000000001</v>
      </c>
      <c r="J26" s="518"/>
      <c r="K26" s="523">
        <f aca="true" t="shared" si="0" ref="K26:K41">F26*IF(J26=0,I26,J26)</f>
        <v>3906.1200000000003</v>
      </c>
      <c r="L26" s="666">
        <v>69.3</v>
      </c>
      <c r="M26" s="518"/>
      <c r="N26" s="524">
        <f>E26*K26*IF(M26=0,L26,M26)/1000</f>
        <v>216.55529280000002</v>
      </c>
      <c r="O26" s="692">
        <f>(1-E26)*K26*IF(M26=0,L26,M26)/1000</f>
        <v>54.13882319999999</v>
      </c>
      <c r="P26" s="577"/>
      <c r="Q26" s="224"/>
      <c r="R26" s="224"/>
      <c r="S26" s="224"/>
      <c r="T26" s="434"/>
      <c r="U26" s="661"/>
      <c r="V26" s="482"/>
      <c r="W26" s="483"/>
      <c r="X26" s="793"/>
      <c r="Y26" s="792" t="s">
        <v>374</v>
      </c>
      <c r="Z26" s="409"/>
      <c r="AA26" s="484"/>
      <c r="AB26" s="485"/>
      <c r="AC26" s="409"/>
      <c r="AD26" s="433"/>
    </row>
    <row r="27" spans="1:30" s="324" customFormat="1" ht="15" customHeight="1">
      <c r="A27" s="422"/>
      <c r="B27" s="578"/>
      <c r="C27" s="408"/>
      <c r="D27" s="752"/>
      <c r="E27" s="638"/>
      <c r="F27" s="647"/>
      <c r="G27" s="325" t="s">
        <v>11</v>
      </c>
      <c r="H27" s="326" t="s">
        <v>12</v>
      </c>
      <c r="I27" s="630">
        <v>0.13020400000000001</v>
      </c>
      <c r="J27" s="763"/>
      <c r="K27" s="327">
        <f t="shared" si="0"/>
        <v>0</v>
      </c>
      <c r="L27" s="886">
        <v>69.3</v>
      </c>
      <c r="M27" s="763"/>
      <c r="N27" s="693">
        <f aca="true" t="shared" si="1" ref="N27:N41">E27*K27*IF(M27=0,L27,M27)/1000</f>
        <v>0</v>
      </c>
      <c r="O27" s="694">
        <f aca="true" t="shared" si="2" ref="O27:O41">(1-E27)*K27*IF(M27=0,L27,M27)/1000</f>
        <v>0</v>
      </c>
      <c r="P27" s="579"/>
      <c r="Q27" s="224"/>
      <c r="R27" s="224"/>
      <c r="S27" s="224"/>
      <c r="T27" s="435"/>
      <c r="U27" s="662"/>
      <c r="V27" s="443"/>
      <c r="W27" s="444" t="s">
        <v>694</v>
      </c>
      <c r="X27" s="445"/>
      <c r="Y27" s="444"/>
      <c r="Z27" s="444"/>
      <c r="AA27" s="444"/>
      <c r="AB27" s="446"/>
      <c r="AC27" s="411"/>
      <c r="AD27" s="432"/>
    </row>
    <row r="28" spans="1:30" s="324" customFormat="1" ht="15" customHeight="1">
      <c r="A28" s="422"/>
      <c r="B28" s="578"/>
      <c r="C28" s="408"/>
      <c r="D28" s="753"/>
      <c r="E28" s="639"/>
      <c r="F28" s="647"/>
      <c r="G28" s="329" t="s">
        <v>13</v>
      </c>
      <c r="H28" s="330" t="s">
        <v>12</v>
      </c>
      <c r="I28" s="631">
        <v>0.1563824</v>
      </c>
      <c r="J28" s="764"/>
      <c r="K28" s="331">
        <f t="shared" si="0"/>
        <v>0</v>
      </c>
      <c r="L28" s="887">
        <v>69.3</v>
      </c>
      <c r="M28" s="764"/>
      <c r="N28" s="693">
        <f t="shared" si="1"/>
        <v>0</v>
      </c>
      <c r="O28" s="694">
        <f t="shared" si="2"/>
        <v>0</v>
      </c>
      <c r="P28" s="579"/>
      <c r="Q28" s="224"/>
      <c r="R28" s="224"/>
      <c r="S28" s="224"/>
      <c r="T28" s="435"/>
      <c r="U28" s="663"/>
      <c r="V28" s="57"/>
      <c r="W28" s="296"/>
      <c r="X28" s="68"/>
      <c r="Y28" s="65"/>
      <c r="Z28" s="65"/>
      <c r="AA28" s="65"/>
      <c r="AB28" s="68"/>
      <c r="AC28" s="65"/>
      <c r="AD28" s="58"/>
    </row>
    <row r="29" spans="1:30" s="324" customFormat="1" ht="20.25" customHeight="1">
      <c r="A29" s="422"/>
      <c r="B29" s="578"/>
      <c r="C29" s="408"/>
      <c r="D29" s="753"/>
      <c r="E29" s="639"/>
      <c r="F29" s="647"/>
      <c r="G29" s="329" t="s">
        <v>14</v>
      </c>
      <c r="H29" s="330" t="s">
        <v>12</v>
      </c>
      <c r="I29" s="631">
        <v>0.0344</v>
      </c>
      <c r="J29" s="764"/>
      <c r="K29" s="331">
        <f t="shared" si="0"/>
        <v>0</v>
      </c>
      <c r="L29" s="887">
        <v>69.3</v>
      </c>
      <c r="M29" s="764"/>
      <c r="N29" s="693">
        <f t="shared" si="1"/>
        <v>0</v>
      </c>
      <c r="O29" s="694">
        <f t="shared" si="2"/>
        <v>0</v>
      </c>
      <c r="P29" s="579"/>
      <c r="Q29" s="224"/>
      <c r="R29" s="224"/>
      <c r="S29" s="224"/>
      <c r="T29" s="435"/>
      <c r="U29" s="663"/>
      <c r="V29" s="57"/>
      <c r="W29" s="438" t="s">
        <v>415</v>
      </c>
      <c r="X29" s="439"/>
      <c r="Y29" s="440"/>
      <c r="Z29" s="440" t="s">
        <v>26</v>
      </c>
      <c r="AA29" s="440" t="s">
        <v>26</v>
      </c>
      <c r="AB29" s="440" t="s">
        <v>26</v>
      </c>
      <c r="AC29" s="442" t="s">
        <v>377</v>
      </c>
      <c r="AD29" s="58"/>
    </row>
    <row r="30" spans="1:30" s="324" customFormat="1" ht="12.75">
      <c r="A30" s="422"/>
      <c r="B30" s="578"/>
      <c r="C30" s="408"/>
      <c r="D30" s="753"/>
      <c r="E30" s="639"/>
      <c r="F30" s="647"/>
      <c r="G30" s="329" t="s">
        <v>14</v>
      </c>
      <c r="H30" s="330" t="s">
        <v>12</v>
      </c>
      <c r="I30" s="631">
        <v>0.0344</v>
      </c>
      <c r="J30" s="764"/>
      <c r="K30" s="331">
        <f t="shared" si="0"/>
        <v>0</v>
      </c>
      <c r="L30" s="887">
        <v>69.3</v>
      </c>
      <c r="M30" s="764"/>
      <c r="N30" s="693">
        <f t="shared" si="1"/>
        <v>0</v>
      </c>
      <c r="O30" s="694">
        <f t="shared" si="2"/>
        <v>0</v>
      </c>
      <c r="P30" s="579"/>
      <c r="Q30" s="224"/>
      <c r="R30" s="224"/>
      <c r="S30" s="224"/>
      <c r="T30" s="435"/>
      <c r="U30" s="663"/>
      <c r="V30" s="57"/>
      <c r="W30" s="438"/>
      <c r="X30" s="441" t="s">
        <v>310</v>
      </c>
      <c r="Y30" s="441" t="s">
        <v>375</v>
      </c>
      <c r="Z30" s="441" t="s">
        <v>223</v>
      </c>
      <c r="AA30" s="441" t="s">
        <v>224</v>
      </c>
      <c r="AB30" s="441" t="s">
        <v>225</v>
      </c>
      <c r="AC30" s="442" t="s">
        <v>467</v>
      </c>
      <c r="AD30" s="58"/>
    </row>
    <row r="31" spans="1:30" s="324" customFormat="1" ht="13.5" thickBot="1">
      <c r="A31" s="422"/>
      <c r="B31" s="578"/>
      <c r="C31" s="408"/>
      <c r="D31" s="754"/>
      <c r="E31" s="640"/>
      <c r="F31" s="648"/>
      <c r="G31" s="332" t="s">
        <v>15</v>
      </c>
      <c r="H31" s="333" t="s">
        <v>12</v>
      </c>
      <c r="I31" s="632">
        <v>46.5316</v>
      </c>
      <c r="J31" s="765"/>
      <c r="K31" s="334">
        <f t="shared" si="0"/>
        <v>0</v>
      </c>
      <c r="L31" s="670">
        <v>69.3</v>
      </c>
      <c r="M31" s="765"/>
      <c r="N31" s="693">
        <f t="shared" si="1"/>
        <v>0</v>
      </c>
      <c r="O31" s="694">
        <f t="shared" si="2"/>
        <v>0</v>
      </c>
      <c r="P31" s="579"/>
      <c r="Q31" s="224"/>
      <c r="R31" s="224"/>
      <c r="S31" s="224"/>
      <c r="T31" s="435"/>
      <c r="U31" s="663"/>
      <c r="V31" s="57"/>
      <c r="W31" s="438"/>
      <c r="X31" s="441"/>
      <c r="Y31" s="441"/>
      <c r="Z31" s="441"/>
      <c r="AA31" s="441"/>
      <c r="AB31" s="441"/>
      <c r="AC31" s="442"/>
      <c r="AD31" s="58"/>
    </row>
    <row r="32" spans="1:30" s="324" customFormat="1" ht="12.75">
      <c r="A32" s="422"/>
      <c r="B32" s="578"/>
      <c r="C32" s="408"/>
      <c r="D32" s="752"/>
      <c r="E32" s="638"/>
      <c r="F32" s="649"/>
      <c r="G32" s="325" t="s">
        <v>11</v>
      </c>
      <c r="H32" s="326" t="s">
        <v>16</v>
      </c>
      <c r="I32" s="631">
        <v>0.137</v>
      </c>
      <c r="J32" s="763"/>
      <c r="K32" s="327">
        <f t="shared" si="0"/>
        <v>0</v>
      </c>
      <c r="L32" s="667">
        <v>74.1</v>
      </c>
      <c r="M32" s="763"/>
      <c r="N32" s="693">
        <f t="shared" si="1"/>
        <v>0</v>
      </c>
      <c r="O32" s="694">
        <f t="shared" si="2"/>
        <v>0</v>
      </c>
      <c r="P32" s="579"/>
      <c r="Q32" s="224"/>
      <c r="R32" s="224"/>
      <c r="S32" s="224"/>
      <c r="T32" s="435"/>
      <c r="U32" s="663"/>
      <c r="V32" s="57"/>
      <c r="W32" s="450" t="s">
        <v>458</v>
      </c>
      <c r="X32" s="44">
        <v>69.3</v>
      </c>
      <c r="Y32" s="142">
        <v>0.0344</v>
      </c>
      <c r="Z32" s="451">
        <f>Y32*3.785</f>
        <v>0.13020400000000001</v>
      </c>
      <c r="AA32" s="451">
        <f>Z32*1.201</f>
        <v>0.15637500400000004</v>
      </c>
      <c r="AB32" s="451">
        <f>Z32/AC32*2205</f>
        <v>46.53157536466776</v>
      </c>
      <c r="AC32" s="49">
        <v>6.17</v>
      </c>
      <c r="AD32" s="58"/>
    </row>
    <row r="33" spans="1:30" s="324" customFormat="1" ht="12.75">
      <c r="A33" s="422"/>
      <c r="B33" s="578"/>
      <c r="C33" s="408"/>
      <c r="D33" s="752"/>
      <c r="E33" s="638"/>
      <c r="F33" s="649"/>
      <c r="G33" s="325" t="s">
        <v>13</v>
      </c>
      <c r="H33" s="326" t="s">
        <v>16</v>
      </c>
      <c r="I33" s="631">
        <v>0.1646</v>
      </c>
      <c r="J33" s="763"/>
      <c r="K33" s="327">
        <f t="shared" si="0"/>
        <v>0</v>
      </c>
      <c r="L33" s="667">
        <v>74.1</v>
      </c>
      <c r="M33" s="763"/>
      <c r="N33" s="693">
        <f t="shared" si="1"/>
        <v>0</v>
      </c>
      <c r="O33" s="694">
        <f t="shared" si="2"/>
        <v>0</v>
      </c>
      <c r="P33" s="579"/>
      <c r="Q33" s="412"/>
      <c r="R33" s="408"/>
      <c r="S33" s="408"/>
      <c r="T33" s="435"/>
      <c r="U33" s="662"/>
      <c r="V33" s="443"/>
      <c r="W33" s="450" t="s">
        <v>418</v>
      </c>
      <c r="X33" s="44">
        <v>71.9</v>
      </c>
      <c r="Y33" s="142">
        <v>0.0357</v>
      </c>
      <c r="Z33" s="451">
        <f>Y33*3.785</f>
        <v>0.1351245</v>
      </c>
      <c r="AA33" s="451">
        <f>Z33*1.201</f>
        <v>0.16228452450000003</v>
      </c>
      <c r="AB33" s="451">
        <f>Z33/AC33*2205</f>
        <v>44.07537315088758</v>
      </c>
      <c r="AC33" s="49">
        <v>6.76</v>
      </c>
      <c r="AD33" s="432"/>
    </row>
    <row r="34" spans="1:30" s="324" customFormat="1" ht="12.75">
      <c r="A34" s="422"/>
      <c r="B34" s="578"/>
      <c r="C34" s="408"/>
      <c r="D34" s="753"/>
      <c r="E34" s="639"/>
      <c r="F34" s="647"/>
      <c r="G34" s="329" t="s">
        <v>14</v>
      </c>
      <c r="H34" s="330" t="s">
        <v>16</v>
      </c>
      <c r="I34" s="631">
        <v>0.0362</v>
      </c>
      <c r="J34" s="764"/>
      <c r="K34" s="331">
        <f t="shared" si="0"/>
        <v>0</v>
      </c>
      <c r="L34" s="667">
        <v>74.1</v>
      </c>
      <c r="M34" s="764"/>
      <c r="N34" s="693">
        <f t="shared" si="1"/>
        <v>0</v>
      </c>
      <c r="O34" s="694">
        <f t="shared" si="2"/>
        <v>0</v>
      </c>
      <c r="P34" s="579"/>
      <c r="Q34" s="412"/>
      <c r="R34" s="408"/>
      <c r="S34" s="408"/>
      <c r="T34" s="435"/>
      <c r="U34" s="662"/>
      <c r="V34" s="443"/>
      <c r="W34" s="452" t="s">
        <v>16</v>
      </c>
      <c r="X34" s="44">
        <v>74.1</v>
      </c>
      <c r="Y34" s="142">
        <v>0.0362</v>
      </c>
      <c r="Z34" s="451">
        <f>Y34*3.785</f>
        <v>0.13701700000000003</v>
      </c>
      <c r="AA34" s="451">
        <f>Z34*1.201</f>
        <v>0.16455741700000004</v>
      </c>
      <c r="AB34" s="451">
        <f>Z34/AC34*2205</f>
        <v>42.55246267605635</v>
      </c>
      <c r="AC34" s="49">
        <v>7.1</v>
      </c>
      <c r="AD34" s="432"/>
    </row>
    <row r="35" spans="1:30" s="324" customFormat="1" ht="13.5" customHeight="1" thickBot="1">
      <c r="A35" s="422"/>
      <c r="B35" s="578"/>
      <c r="C35" s="408"/>
      <c r="D35" s="754"/>
      <c r="E35" s="640"/>
      <c r="F35" s="648"/>
      <c r="G35" s="332" t="s">
        <v>15</v>
      </c>
      <c r="H35" s="333" t="s">
        <v>16</v>
      </c>
      <c r="I35" s="632">
        <v>42.5525</v>
      </c>
      <c r="J35" s="765"/>
      <c r="K35" s="334">
        <f t="shared" si="0"/>
        <v>0</v>
      </c>
      <c r="L35" s="892">
        <v>74.1</v>
      </c>
      <c r="M35" s="765"/>
      <c r="N35" s="693">
        <f t="shared" si="1"/>
        <v>0</v>
      </c>
      <c r="O35" s="694">
        <f t="shared" si="2"/>
        <v>0</v>
      </c>
      <c r="P35" s="579"/>
      <c r="Q35" s="412"/>
      <c r="R35" s="408"/>
      <c r="S35" s="408"/>
      <c r="T35" s="435"/>
      <c r="U35" s="662"/>
      <c r="V35" s="443"/>
      <c r="W35" s="450" t="s">
        <v>404</v>
      </c>
      <c r="X35" s="44">
        <v>63.1</v>
      </c>
      <c r="Y35" s="142">
        <v>0.0249</v>
      </c>
      <c r="Z35" s="451">
        <f>Y35*3.785</f>
        <v>0.0942465</v>
      </c>
      <c r="AA35" s="451">
        <f>Z35*1.201</f>
        <v>0.1131900465</v>
      </c>
      <c r="AB35" s="451">
        <f>Z35/AC35*2205</f>
        <v>45.97644524336283</v>
      </c>
      <c r="AC35" s="49">
        <v>4.52</v>
      </c>
      <c r="AD35" s="432"/>
    </row>
    <row r="36" spans="1:30" s="324" customFormat="1" ht="12.75">
      <c r="A36" s="422"/>
      <c r="B36" s="578"/>
      <c r="C36" s="408"/>
      <c r="D36" s="752"/>
      <c r="E36" s="638"/>
      <c r="F36" s="649"/>
      <c r="G36" s="325" t="s">
        <v>17</v>
      </c>
      <c r="H36" s="326" t="s">
        <v>18</v>
      </c>
      <c r="I36" s="633">
        <v>0.023</v>
      </c>
      <c r="J36" s="763"/>
      <c r="K36" s="327">
        <f t="shared" si="0"/>
        <v>0</v>
      </c>
      <c r="L36" s="669">
        <v>56.1</v>
      </c>
      <c r="M36" s="763"/>
      <c r="N36" s="693">
        <f t="shared" si="1"/>
        <v>0</v>
      </c>
      <c r="O36" s="694">
        <f t="shared" si="2"/>
        <v>0</v>
      </c>
      <c r="P36" s="579"/>
      <c r="Q36" s="412"/>
      <c r="R36" s="408"/>
      <c r="S36" s="408"/>
      <c r="T36" s="435"/>
      <c r="U36" s="662"/>
      <c r="V36" s="443"/>
      <c r="W36" s="453" t="s">
        <v>615</v>
      </c>
      <c r="X36" s="44">
        <v>73.3</v>
      </c>
      <c r="Y36" s="142">
        <v>0.0382</v>
      </c>
      <c r="Z36" s="451">
        <f>Y36*3.785</f>
        <v>0.144587</v>
      </c>
      <c r="AA36" s="451">
        <f>Z36*1.201</f>
        <v>0.173648987</v>
      </c>
      <c r="AB36" s="142"/>
      <c r="AC36" s="49"/>
      <c r="AD36" s="432"/>
    </row>
    <row r="37" spans="1:30" s="324" customFormat="1" ht="15" thickBot="1">
      <c r="A37" s="422"/>
      <c r="B37" s="578"/>
      <c r="C37" s="408"/>
      <c r="D37" s="754"/>
      <c r="E37" s="640"/>
      <c r="F37" s="648"/>
      <c r="G37" s="332" t="s">
        <v>19</v>
      </c>
      <c r="H37" s="333" t="s">
        <v>18</v>
      </c>
      <c r="I37" s="634">
        <v>0.0508</v>
      </c>
      <c r="J37" s="765"/>
      <c r="K37" s="334">
        <f t="shared" si="0"/>
        <v>0</v>
      </c>
      <c r="L37" s="668">
        <v>56.1</v>
      </c>
      <c r="M37" s="765"/>
      <c r="N37" s="693">
        <f t="shared" si="1"/>
        <v>0</v>
      </c>
      <c r="O37" s="694">
        <f t="shared" si="2"/>
        <v>0</v>
      </c>
      <c r="P37" s="579"/>
      <c r="Q37" s="412"/>
      <c r="R37" s="408"/>
      <c r="S37" s="408"/>
      <c r="T37" s="435"/>
      <c r="U37" s="662"/>
      <c r="V37" s="443"/>
      <c r="W37" s="453" t="s">
        <v>420</v>
      </c>
      <c r="X37" s="454">
        <v>56.1</v>
      </c>
      <c r="Y37" s="455" t="s">
        <v>380</v>
      </c>
      <c r="Z37" s="142"/>
      <c r="AA37" s="142"/>
      <c r="AB37" s="142"/>
      <c r="AC37" s="49" t="s">
        <v>381</v>
      </c>
      <c r="AD37" s="432"/>
    </row>
    <row r="38" spans="1:30" s="324" customFormat="1" ht="12.75">
      <c r="A38" s="422"/>
      <c r="B38" s="578"/>
      <c r="C38" s="408"/>
      <c r="D38" s="752"/>
      <c r="E38" s="638"/>
      <c r="F38" s="649"/>
      <c r="G38" s="325" t="s">
        <v>17</v>
      </c>
      <c r="H38" s="326" t="s">
        <v>404</v>
      </c>
      <c r="I38" s="635">
        <v>0.020856391182073844</v>
      </c>
      <c r="J38" s="763"/>
      <c r="K38" s="327">
        <f t="shared" si="0"/>
        <v>0</v>
      </c>
      <c r="L38" s="888">
        <v>63.1</v>
      </c>
      <c r="M38" s="767"/>
      <c r="N38" s="693">
        <f t="shared" si="1"/>
        <v>0</v>
      </c>
      <c r="O38" s="694">
        <f t="shared" si="2"/>
        <v>0</v>
      </c>
      <c r="P38" s="579"/>
      <c r="Q38" s="412"/>
      <c r="R38" s="408"/>
      <c r="S38" s="408"/>
      <c r="T38" s="435"/>
      <c r="U38" s="662"/>
      <c r="V38" s="443"/>
      <c r="W38" s="660"/>
      <c r="X38" s="660"/>
      <c r="Y38" s="456" t="s">
        <v>27</v>
      </c>
      <c r="Z38" s="145"/>
      <c r="AA38" s="145"/>
      <c r="AB38" s="145"/>
      <c r="AC38" s="121"/>
      <c r="AD38" s="432"/>
    </row>
    <row r="39" spans="1:30" s="324" customFormat="1" ht="12.75">
      <c r="A39" s="422"/>
      <c r="B39" s="578"/>
      <c r="C39" s="408"/>
      <c r="D39" s="755"/>
      <c r="E39" s="686"/>
      <c r="F39" s="647"/>
      <c r="G39" s="329" t="s">
        <v>19</v>
      </c>
      <c r="H39" s="330" t="s">
        <v>404</v>
      </c>
      <c r="I39" s="636">
        <v>0.04598</v>
      </c>
      <c r="J39" s="763"/>
      <c r="K39" s="327">
        <f t="shared" si="0"/>
        <v>0</v>
      </c>
      <c r="L39" s="889">
        <v>63.1</v>
      </c>
      <c r="M39" s="768"/>
      <c r="N39" s="693">
        <f t="shared" si="1"/>
        <v>0</v>
      </c>
      <c r="O39" s="694">
        <f t="shared" si="2"/>
        <v>0</v>
      </c>
      <c r="P39" s="579"/>
      <c r="Q39" s="412"/>
      <c r="R39" s="408"/>
      <c r="S39" s="408"/>
      <c r="T39" s="435"/>
      <c r="U39" s="662"/>
      <c r="V39" s="443"/>
      <c r="W39" s="130"/>
      <c r="X39" s="446"/>
      <c r="Y39" s="660"/>
      <c r="Z39" s="411"/>
      <c r="AA39" s="411"/>
      <c r="AB39" s="446"/>
      <c r="AC39" s="411"/>
      <c r="AD39" s="432"/>
    </row>
    <row r="40" spans="1:30" s="324" customFormat="1" ht="12.75">
      <c r="A40" s="422"/>
      <c r="B40" s="578"/>
      <c r="C40" s="408"/>
      <c r="D40" s="755"/>
      <c r="E40" s="686"/>
      <c r="F40" s="647"/>
      <c r="G40" s="329" t="s">
        <v>11</v>
      </c>
      <c r="H40" s="330" t="s">
        <v>404</v>
      </c>
      <c r="I40" s="636">
        <v>0.0942</v>
      </c>
      <c r="J40" s="763"/>
      <c r="K40" s="327">
        <f t="shared" si="0"/>
        <v>0</v>
      </c>
      <c r="L40" s="889">
        <v>63.1</v>
      </c>
      <c r="M40" s="768"/>
      <c r="N40" s="693">
        <f t="shared" si="1"/>
        <v>0</v>
      </c>
      <c r="O40" s="694">
        <f t="shared" si="2"/>
        <v>0</v>
      </c>
      <c r="P40" s="579"/>
      <c r="Q40" s="412"/>
      <c r="R40" s="408"/>
      <c r="S40" s="408"/>
      <c r="T40" s="435"/>
      <c r="U40" s="662"/>
      <c r="V40" s="443"/>
      <c r="W40" s="130"/>
      <c r="X40" s="446"/>
      <c r="Y40" s="411"/>
      <c r="Z40" s="411"/>
      <c r="AA40" s="411"/>
      <c r="AB40" s="446"/>
      <c r="AC40" s="411"/>
      <c r="AD40" s="432"/>
    </row>
    <row r="41" spans="1:30" s="324" customFormat="1" ht="13.5" thickBot="1">
      <c r="A41" s="422"/>
      <c r="B41" s="578"/>
      <c r="C41" s="408"/>
      <c r="D41" s="756"/>
      <c r="E41" s="687"/>
      <c r="F41" s="650"/>
      <c r="G41" s="335" t="s">
        <v>14</v>
      </c>
      <c r="H41" s="336" t="s">
        <v>404</v>
      </c>
      <c r="I41" s="637">
        <v>0.0249</v>
      </c>
      <c r="J41" s="766"/>
      <c r="K41" s="337">
        <f t="shared" si="0"/>
        <v>0</v>
      </c>
      <c r="L41" s="668">
        <v>63.1</v>
      </c>
      <c r="M41" s="769"/>
      <c r="N41" s="693">
        <f t="shared" si="1"/>
        <v>0</v>
      </c>
      <c r="O41" s="694">
        <f t="shared" si="2"/>
        <v>0</v>
      </c>
      <c r="P41" s="579"/>
      <c r="Q41" s="412"/>
      <c r="R41" s="408"/>
      <c r="S41" s="408"/>
      <c r="T41" s="435"/>
      <c r="U41" s="662"/>
      <c r="V41" s="443"/>
      <c r="W41" s="626" t="s">
        <v>256</v>
      </c>
      <c r="X41" s="491" t="s">
        <v>376</v>
      </c>
      <c r="Y41" s="491"/>
      <c r="Z41" s="491"/>
      <c r="AA41" s="411"/>
      <c r="AB41" s="446"/>
      <c r="AC41" s="411"/>
      <c r="AD41" s="432"/>
    </row>
    <row r="42" spans="1:30" s="322" customFormat="1" ht="13.5" thickBot="1">
      <c r="A42" s="420"/>
      <c r="B42" s="574"/>
      <c r="C42" s="385" t="s">
        <v>20</v>
      </c>
      <c r="D42" s="384"/>
      <c r="E42" s="384"/>
      <c r="F42" s="386"/>
      <c r="G42" s="387"/>
      <c r="H42" s="387"/>
      <c r="I42" s="384"/>
      <c r="J42" s="384"/>
      <c r="K42" s="388">
        <f>SUM(K43:K57)</f>
        <v>0</v>
      </c>
      <c r="L42" s="384"/>
      <c r="M42" s="389"/>
      <c r="N42" s="390">
        <f>SUM(N43:N57)</f>
        <v>0</v>
      </c>
      <c r="O42" s="390">
        <f>SUM(O43:O57)</f>
        <v>0</v>
      </c>
      <c r="P42" s="433"/>
      <c r="Q42" s="409"/>
      <c r="R42" s="409"/>
      <c r="S42" s="409"/>
      <c r="T42" s="433"/>
      <c r="U42" s="662"/>
      <c r="V42" s="799"/>
      <c r="W42" s="798"/>
      <c r="X42" s="798"/>
      <c r="Y42" s="798"/>
      <c r="Z42" s="798"/>
      <c r="AA42" s="798"/>
      <c r="AB42" s="798"/>
      <c r="AC42" s="798"/>
      <c r="AD42" s="797"/>
    </row>
    <row r="43" spans="1:30" s="324" customFormat="1" ht="17.25" customHeight="1" thickTop="1">
      <c r="A43" s="422"/>
      <c r="B43" s="578"/>
      <c r="C43" s="408"/>
      <c r="D43" s="752"/>
      <c r="E43" s="638"/>
      <c r="F43" s="649"/>
      <c r="G43" s="325" t="s">
        <v>11</v>
      </c>
      <c r="H43" s="326" t="s">
        <v>12</v>
      </c>
      <c r="I43" s="630">
        <v>0.13020400000000001</v>
      </c>
      <c r="J43" s="763"/>
      <c r="K43" s="327">
        <f aca="true" t="shared" si="3" ref="K43:K57">F43*IF(J43=0,I43,J43)</f>
        <v>0</v>
      </c>
      <c r="L43" s="886">
        <v>69.3</v>
      </c>
      <c r="M43" s="763"/>
      <c r="N43" s="693">
        <f>E43*K43*IF(M43=0,L43,M43)/1000</f>
        <v>0</v>
      </c>
      <c r="O43" s="694">
        <f>(1-E43)*K43*IF(M43=0,L43,M43)/1000</f>
        <v>0</v>
      </c>
      <c r="P43" s="579"/>
      <c r="Q43" s="412"/>
      <c r="R43" s="408"/>
      <c r="S43" s="408"/>
      <c r="T43" s="435"/>
      <c r="U43" s="664"/>
      <c r="V43" s="885"/>
      <c r="W43" s="328"/>
      <c r="X43" s="328"/>
      <c r="Y43" s="328"/>
      <c r="Z43" s="328"/>
      <c r="AA43" s="328"/>
      <c r="AB43" s="328"/>
      <c r="AC43" s="328"/>
      <c r="AD43" s="328"/>
    </row>
    <row r="44" spans="1:30" s="324" customFormat="1" ht="15.75" customHeight="1">
      <c r="A44" s="422"/>
      <c r="B44" s="578"/>
      <c r="C44" s="408"/>
      <c r="D44" s="753"/>
      <c r="E44" s="639"/>
      <c r="F44" s="647"/>
      <c r="G44" s="329" t="s">
        <v>13</v>
      </c>
      <c r="H44" s="330" t="s">
        <v>12</v>
      </c>
      <c r="I44" s="631">
        <v>0.1563824</v>
      </c>
      <c r="J44" s="764"/>
      <c r="K44" s="331">
        <f t="shared" si="3"/>
        <v>0</v>
      </c>
      <c r="L44" s="887">
        <v>69.3</v>
      </c>
      <c r="M44" s="764"/>
      <c r="N44" s="693">
        <f aca="true" t="shared" si="4" ref="N44:N57">E44*K44*IF(M44=0,L44,M44)/1000</f>
        <v>0</v>
      </c>
      <c r="O44" s="694">
        <f aca="true" t="shared" si="5" ref="O44:O57">(1-E44)*K44*IF(M44=0,L44,M44)/1000</f>
        <v>0</v>
      </c>
      <c r="P44" s="579"/>
      <c r="Q44" s="412"/>
      <c r="R44" s="408"/>
      <c r="S44" s="408"/>
      <c r="T44" s="435"/>
      <c r="U44" s="664"/>
      <c r="V44" s="328"/>
      <c r="W44" s="328"/>
      <c r="X44" s="328"/>
      <c r="Y44" s="328"/>
      <c r="Z44" s="328"/>
      <c r="AA44" s="328"/>
      <c r="AB44" s="328"/>
      <c r="AC44" s="328"/>
      <c r="AD44" s="328"/>
    </row>
    <row r="45" spans="1:30" s="324" customFormat="1" ht="16.5" customHeight="1">
      <c r="A45" s="422"/>
      <c r="B45" s="578"/>
      <c r="C45" s="408"/>
      <c r="D45" s="753"/>
      <c r="E45" s="639"/>
      <c r="F45" s="647"/>
      <c r="G45" s="329" t="s">
        <v>14</v>
      </c>
      <c r="H45" s="330" t="s">
        <v>12</v>
      </c>
      <c r="I45" s="631">
        <v>0.0344</v>
      </c>
      <c r="J45" s="764"/>
      <c r="K45" s="331">
        <f t="shared" si="3"/>
        <v>0</v>
      </c>
      <c r="L45" s="887">
        <v>69.3</v>
      </c>
      <c r="M45" s="764"/>
      <c r="N45" s="693">
        <f t="shared" si="4"/>
        <v>0</v>
      </c>
      <c r="O45" s="694">
        <f t="shared" si="5"/>
        <v>0</v>
      </c>
      <c r="P45" s="579"/>
      <c r="Q45" s="412"/>
      <c r="R45" s="408"/>
      <c r="S45" s="408"/>
      <c r="T45" s="435"/>
      <c r="U45" s="664"/>
      <c r="V45" s="328"/>
      <c r="W45" s="328"/>
      <c r="X45" s="328"/>
      <c r="Y45" s="328"/>
      <c r="Z45" s="328"/>
      <c r="AA45" s="328"/>
      <c r="AB45" s="328"/>
      <c r="AC45" s="328"/>
      <c r="AD45" s="328"/>
    </row>
    <row r="46" spans="1:30" s="324" customFormat="1" ht="13.5" thickBot="1">
      <c r="A46" s="422"/>
      <c r="B46" s="578"/>
      <c r="C46" s="408"/>
      <c r="D46" s="754"/>
      <c r="E46" s="640"/>
      <c r="F46" s="648"/>
      <c r="G46" s="332" t="s">
        <v>15</v>
      </c>
      <c r="H46" s="333" t="s">
        <v>12</v>
      </c>
      <c r="I46" s="632">
        <v>46.5316</v>
      </c>
      <c r="J46" s="765"/>
      <c r="K46" s="334">
        <f t="shared" si="3"/>
        <v>0</v>
      </c>
      <c r="L46" s="670">
        <v>69.3</v>
      </c>
      <c r="M46" s="765"/>
      <c r="N46" s="693">
        <f t="shared" si="4"/>
        <v>0</v>
      </c>
      <c r="O46" s="694">
        <f t="shared" si="5"/>
        <v>0</v>
      </c>
      <c r="P46" s="579"/>
      <c r="Q46" s="412"/>
      <c r="R46" s="408"/>
      <c r="S46" s="408"/>
      <c r="T46" s="435"/>
      <c r="U46" s="664"/>
      <c r="V46" s="328"/>
      <c r="W46" s="328"/>
      <c r="X46" s="328"/>
      <c r="Y46" s="328"/>
      <c r="Z46" s="328"/>
      <c r="AA46" s="328"/>
      <c r="AB46" s="328"/>
      <c r="AC46" s="328"/>
      <c r="AD46" s="328"/>
    </row>
    <row r="47" spans="1:30" s="324" customFormat="1" ht="12.75">
      <c r="A47" s="422"/>
      <c r="B47" s="578"/>
      <c r="C47" s="408"/>
      <c r="D47" s="752"/>
      <c r="E47" s="638"/>
      <c r="F47" s="649"/>
      <c r="G47" s="325" t="s">
        <v>11</v>
      </c>
      <c r="H47" s="326" t="s">
        <v>16</v>
      </c>
      <c r="I47" s="631">
        <v>0.137</v>
      </c>
      <c r="J47" s="763"/>
      <c r="K47" s="327">
        <f t="shared" si="3"/>
        <v>0</v>
      </c>
      <c r="L47" s="667">
        <v>74.1</v>
      </c>
      <c r="M47" s="763"/>
      <c r="N47" s="693">
        <f t="shared" si="4"/>
        <v>0</v>
      </c>
      <c r="O47" s="694">
        <f t="shared" si="5"/>
        <v>0</v>
      </c>
      <c r="P47" s="579"/>
      <c r="Q47" s="412"/>
      <c r="R47" s="408"/>
      <c r="S47" s="408"/>
      <c r="T47" s="435"/>
      <c r="U47" s="664"/>
      <c r="V47" s="328"/>
      <c r="W47" s="328"/>
      <c r="X47" s="328"/>
      <c r="Y47" s="328"/>
      <c r="Z47" s="328"/>
      <c r="AA47" s="328"/>
      <c r="AB47" s="328"/>
      <c r="AC47" s="328"/>
      <c r="AD47" s="328"/>
    </row>
    <row r="48" spans="1:30" s="324" customFormat="1" ht="16.5" customHeight="1">
      <c r="A48" s="422"/>
      <c r="B48" s="578"/>
      <c r="C48" s="408"/>
      <c r="D48" s="753"/>
      <c r="E48" s="639"/>
      <c r="F48" s="647"/>
      <c r="G48" s="329" t="s">
        <v>13</v>
      </c>
      <c r="H48" s="330" t="s">
        <v>16</v>
      </c>
      <c r="I48" s="631">
        <v>0.1646</v>
      </c>
      <c r="J48" s="764"/>
      <c r="K48" s="331">
        <f t="shared" si="3"/>
        <v>0</v>
      </c>
      <c r="L48" s="667">
        <v>74.1</v>
      </c>
      <c r="M48" s="764"/>
      <c r="N48" s="693">
        <f t="shared" si="4"/>
        <v>0</v>
      </c>
      <c r="O48" s="694">
        <f t="shared" si="5"/>
        <v>0</v>
      </c>
      <c r="P48" s="579"/>
      <c r="Q48" s="412"/>
      <c r="R48" s="408"/>
      <c r="S48" s="408"/>
      <c r="T48" s="435"/>
      <c r="U48" s="664"/>
      <c r="V48" s="328"/>
      <c r="W48" s="328"/>
      <c r="X48" s="328"/>
      <c r="Y48" s="328"/>
      <c r="Z48" s="328"/>
      <c r="AA48" s="328"/>
      <c r="AB48" s="328"/>
      <c r="AC48" s="328"/>
      <c r="AD48" s="328"/>
    </row>
    <row r="49" spans="1:30" s="324" customFormat="1" ht="17.25" customHeight="1">
      <c r="A49" s="422"/>
      <c r="B49" s="578"/>
      <c r="C49" s="408"/>
      <c r="D49" s="753"/>
      <c r="E49" s="639"/>
      <c r="F49" s="647"/>
      <c r="G49" s="329" t="s">
        <v>14</v>
      </c>
      <c r="H49" s="330" t="s">
        <v>16</v>
      </c>
      <c r="I49" s="631">
        <v>0.0362</v>
      </c>
      <c r="J49" s="764"/>
      <c r="K49" s="331">
        <f t="shared" si="3"/>
        <v>0</v>
      </c>
      <c r="L49" s="667">
        <v>74.1</v>
      </c>
      <c r="M49" s="764"/>
      <c r="N49" s="693">
        <f t="shared" si="4"/>
        <v>0</v>
      </c>
      <c r="O49" s="694">
        <f t="shared" si="5"/>
        <v>0</v>
      </c>
      <c r="P49" s="579"/>
      <c r="Q49" s="412"/>
      <c r="R49" s="408"/>
      <c r="S49" s="408"/>
      <c r="T49" s="435"/>
      <c r="U49" s="664"/>
      <c r="V49" s="328"/>
      <c r="W49" s="328"/>
      <c r="X49" s="328"/>
      <c r="Y49" s="328"/>
      <c r="Z49" s="328"/>
      <c r="AA49" s="328"/>
      <c r="AB49" s="328"/>
      <c r="AC49" s="328"/>
      <c r="AD49" s="328"/>
    </row>
    <row r="50" spans="1:30" s="324" customFormat="1" ht="17.25" customHeight="1" thickBot="1">
      <c r="A50" s="422"/>
      <c r="B50" s="578"/>
      <c r="C50" s="408"/>
      <c r="D50" s="754"/>
      <c r="E50" s="640"/>
      <c r="F50" s="648"/>
      <c r="G50" s="332" t="s">
        <v>15</v>
      </c>
      <c r="H50" s="333" t="s">
        <v>16</v>
      </c>
      <c r="I50" s="632">
        <v>42.5525</v>
      </c>
      <c r="J50" s="765"/>
      <c r="K50" s="334">
        <f t="shared" si="3"/>
        <v>0</v>
      </c>
      <c r="L50" s="891">
        <v>74.1</v>
      </c>
      <c r="M50" s="765"/>
      <c r="N50" s="693">
        <f t="shared" si="4"/>
        <v>0</v>
      </c>
      <c r="O50" s="694">
        <f t="shared" si="5"/>
        <v>0</v>
      </c>
      <c r="P50" s="579"/>
      <c r="Q50" s="412"/>
      <c r="R50" s="408"/>
      <c r="S50" s="408"/>
      <c r="T50" s="435"/>
      <c r="U50" s="664"/>
      <c r="V50" s="328"/>
      <c r="W50" s="328"/>
      <c r="X50" s="328"/>
      <c r="Y50" s="328"/>
      <c r="Z50" s="328"/>
      <c r="AA50" s="328"/>
      <c r="AB50" s="328"/>
      <c r="AC50" s="328"/>
      <c r="AD50" s="328"/>
    </row>
    <row r="51" spans="1:30" s="324" customFormat="1" ht="12.75">
      <c r="A51" s="422"/>
      <c r="B51" s="578"/>
      <c r="C51" s="408"/>
      <c r="D51" s="753"/>
      <c r="E51" s="639"/>
      <c r="F51" s="647"/>
      <c r="G51" s="329" t="s">
        <v>11</v>
      </c>
      <c r="H51" s="330" t="s">
        <v>382</v>
      </c>
      <c r="I51" s="642">
        <v>0.1533</v>
      </c>
      <c r="J51" s="764"/>
      <c r="K51" s="331">
        <f t="shared" si="3"/>
        <v>0</v>
      </c>
      <c r="L51" s="890">
        <v>77.4</v>
      </c>
      <c r="M51" s="764"/>
      <c r="N51" s="693">
        <f t="shared" si="4"/>
        <v>0</v>
      </c>
      <c r="O51" s="694">
        <f t="shared" si="5"/>
        <v>0</v>
      </c>
      <c r="P51" s="579"/>
      <c r="Q51" s="412"/>
      <c r="R51" s="408"/>
      <c r="S51" s="408"/>
      <c r="T51" s="435"/>
      <c r="U51" s="664"/>
      <c r="V51" s="328"/>
      <c r="W51" s="328"/>
      <c r="X51" s="328"/>
      <c r="Y51" s="328"/>
      <c r="Z51" s="328"/>
      <c r="AA51" s="328"/>
      <c r="AB51" s="328"/>
      <c r="AC51" s="328"/>
      <c r="AD51" s="328"/>
    </row>
    <row r="52" spans="1:30" s="324" customFormat="1" ht="15" customHeight="1">
      <c r="A52" s="422"/>
      <c r="B52" s="578"/>
      <c r="C52" s="408"/>
      <c r="D52" s="753"/>
      <c r="E52" s="639"/>
      <c r="F52" s="647"/>
      <c r="G52" s="329" t="s">
        <v>21</v>
      </c>
      <c r="H52" s="330" t="s">
        <v>382</v>
      </c>
      <c r="I52" s="643">
        <v>0.1841</v>
      </c>
      <c r="J52" s="764"/>
      <c r="K52" s="331">
        <f t="shared" si="3"/>
        <v>0</v>
      </c>
      <c r="L52" s="667">
        <v>77.4</v>
      </c>
      <c r="M52" s="764"/>
      <c r="N52" s="693">
        <f t="shared" si="4"/>
        <v>0</v>
      </c>
      <c r="O52" s="694">
        <f t="shared" si="5"/>
        <v>0</v>
      </c>
      <c r="P52" s="579"/>
      <c r="Q52" s="412"/>
      <c r="R52" s="408"/>
      <c r="S52" s="408"/>
      <c r="T52" s="435"/>
      <c r="U52" s="664"/>
      <c r="V52" s="328"/>
      <c r="W52" s="328"/>
      <c r="X52" s="328"/>
      <c r="Y52" s="328"/>
      <c r="Z52" s="328"/>
      <c r="AA52" s="328"/>
      <c r="AB52" s="328"/>
      <c r="AC52" s="328"/>
      <c r="AD52" s="328"/>
    </row>
    <row r="53" spans="1:31" s="324" customFormat="1" ht="15" customHeight="1">
      <c r="A53" s="422"/>
      <c r="B53" s="578"/>
      <c r="C53" s="408"/>
      <c r="D53" s="753"/>
      <c r="E53" s="639"/>
      <c r="F53" s="647"/>
      <c r="G53" s="329" t="s">
        <v>384</v>
      </c>
      <c r="H53" s="330" t="s">
        <v>382</v>
      </c>
      <c r="I53" s="643">
        <v>6.439</v>
      </c>
      <c r="J53" s="764"/>
      <c r="K53" s="331">
        <f t="shared" si="3"/>
        <v>0</v>
      </c>
      <c r="L53" s="667">
        <v>77.4</v>
      </c>
      <c r="M53" s="764"/>
      <c r="N53" s="693">
        <f t="shared" si="4"/>
        <v>0</v>
      </c>
      <c r="O53" s="694">
        <f t="shared" si="5"/>
        <v>0</v>
      </c>
      <c r="P53" s="579"/>
      <c r="Q53" s="412"/>
      <c r="R53" s="408"/>
      <c r="S53" s="408"/>
      <c r="T53" s="435"/>
      <c r="U53" s="664"/>
      <c r="V53" s="328"/>
      <c r="W53" s="328"/>
      <c r="X53" s="328"/>
      <c r="Y53" s="328"/>
      <c r="Z53" s="328"/>
      <c r="AA53" s="328"/>
      <c r="AB53" s="328"/>
      <c r="AC53" s="328"/>
      <c r="AD53" s="328"/>
      <c r="AE53" s="328"/>
    </row>
    <row r="54" spans="1:31" s="324" customFormat="1" ht="15" customHeight="1" thickBot="1">
      <c r="A54" s="422"/>
      <c r="B54" s="578"/>
      <c r="C54" s="408"/>
      <c r="D54" s="754"/>
      <c r="E54" s="640"/>
      <c r="F54" s="648"/>
      <c r="G54" s="332" t="s">
        <v>15</v>
      </c>
      <c r="H54" s="333" t="s">
        <v>382</v>
      </c>
      <c r="I54" s="896">
        <v>40</v>
      </c>
      <c r="J54" s="765"/>
      <c r="K54" s="334">
        <f t="shared" si="3"/>
        <v>0</v>
      </c>
      <c r="L54" s="891">
        <v>77.4</v>
      </c>
      <c r="M54" s="894"/>
      <c r="N54" s="693">
        <f t="shared" si="4"/>
        <v>0</v>
      </c>
      <c r="O54" s="694">
        <f t="shared" si="5"/>
        <v>0</v>
      </c>
      <c r="P54" s="579"/>
      <c r="Q54" s="412"/>
      <c r="R54" s="408"/>
      <c r="S54" s="408"/>
      <c r="T54" s="435"/>
      <c r="U54" s="581"/>
      <c r="V54" s="328"/>
      <c r="W54" s="328"/>
      <c r="X54" s="328"/>
      <c r="Y54" s="328"/>
      <c r="Z54" s="328"/>
      <c r="AA54" s="328"/>
      <c r="AB54" s="328"/>
      <c r="AC54" s="328"/>
      <c r="AD54" s="328"/>
      <c r="AE54" s="328"/>
    </row>
    <row r="55" spans="1:31" s="324" customFormat="1" ht="15" customHeight="1">
      <c r="A55" s="422"/>
      <c r="B55" s="578"/>
      <c r="C55" s="408"/>
      <c r="D55" s="752"/>
      <c r="E55" s="638"/>
      <c r="F55" s="649"/>
      <c r="G55" s="325" t="s">
        <v>22</v>
      </c>
      <c r="H55" s="326" t="s">
        <v>383</v>
      </c>
      <c r="I55" s="633">
        <v>27.42</v>
      </c>
      <c r="J55" s="763"/>
      <c r="K55" s="327">
        <f t="shared" si="3"/>
        <v>0</v>
      </c>
      <c r="L55" s="893">
        <v>94.6</v>
      </c>
      <c r="M55" s="895"/>
      <c r="N55" s="693">
        <f t="shared" si="4"/>
        <v>0</v>
      </c>
      <c r="O55" s="694">
        <f t="shared" si="5"/>
        <v>0</v>
      </c>
      <c r="P55" s="579"/>
      <c r="Q55" s="412"/>
      <c r="R55" s="408"/>
      <c r="S55" s="408"/>
      <c r="T55" s="435"/>
      <c r="U55" s="581"/>
      <c r="V55" s="328"/>
      <c r="W55" s="328"/>
      <c r="X55" s="328"/>
      <c r="Y55" s="328"/>
      <c r="Z55" s="328"/>
      <c r="AA55" s="328"/>
      <c r="AB55" s="328"/>
      <c r="AC55" s="328"/>
      <c r="AD55" s="328"/>
      <c r="AE55" s="328"/>
    </row>
    <row r="56" spans="1:31" s="324" customFormat="1" ht="15" customHeight="1">
      <c r="A56" s="422"/>
      <c r="B56" s="578"/>
      <c r="C56" s="408"/>
      <c r="D56" s="753"/>
      <c r="E56" s="639"/>
      <c r="F56" s="647"/>
      <c r="G56" s="329" t="s">
        <v>15</v>
      </c>
      <c r="H56" s="330" t="s">
        <v>383</v>
      </c>
      <c r="I56" s="633">
        <v>30.23</v>
      </c>
      <c r="J56" s="764"/>
      <c r="K56" s="331">
        <f t="shared" si="3"/>
        <v>0</v>
      </c>
      <c r="L56" s="645">
        <v>94.6</v>
      </c>
      <c r="M56" s="764"/>
      <c r="N56" s="693">
        <f t="shared" si="4"/>
        <v>0</v>
      </c>
      <c r="O56" s="694">
        <f t="shared" si="5"/>
        <v>0</v>
      </c>
      <c r="P56" s="579"/>
      <c r="Q56" s="412"/>
      <c r="R56" s="408"/>
      <c r="S56" s="408"/>
      <c r="T56" s="435"/>
      <c r="U56" s="581"/>
      <c r="V56" s="328"/>
      <c r="W56" s="328"/>
      <c r="X56" s="328"/>
      <c r="Y56" s="328"/>
      <c r="Z56" s="328"/>
      <c r="AA56" s="328"/>
      <c r="AB56" s="328"/>
      <c r="AC56" s="328"/>
      <c r="AD56" s="328"/>
      <c r="AE56" s="328"/>
    </row>
    <row r="57" spans="1:31" s="324" customFormat="1" ht="15" customHeight="1" thickBot="1">
      <c r="A57" s="422"/>
      <c r="B57" s="578"/>
      <c r="C57" s="408"/>
      <c r="D57" s="757"/>
      <c r="E57" s="688"/>
      <c r="F57" s="650"/>
      <c r="G57" s="338"/>
      <c r="H57" s="339" t="s">
        <v>23</v>
      </c>
      <c r="I57" s="644"/>
      <c r="J57" s="766"/>
      <c r="K57" s="337">
        <f t="shared" si="3"/>
        <v>0</v>
      </c>
      <c r="L57" s="646"/>
      <c r="M57" s="769"/>
      <c r="N57" s="693">
        <f t="shared" si="4"/>
        <v>0</v>
      </c>
      <c r="O57" s="694">
        <f t="shared" si="5"/>
        <v>0</v>
      </c>
      <c r="P57" s="580"/>
      <c r="Q57" s="412"/>
      <c r="R57" s="408"/>
      <c r="S57" s="408"/>
      <c r="T57" s="435"/>
      <c r="U57" s="581"/>
      <c r="V57" s="328"/>
      <c r="W57" s="328"/>
      <c r="X57" s="328"/>
      <c r="Y57" s="328"/>
      <c r="Z57" s="328"/>
      <c r="AA57" s="328"/>
      <c r="AB57" s="328"/>
      <c r="AC57" s="328"/>
      <c r="AD57" s="328"/>
      <c r="AE57" s="328"/>
    </row>
    <row r="58" spans="1:30" s="322" customFormat="1" ht="20.25" customHeight="1" thickBot="1">
      <c r="A58" s="420"/>
      <c r="B58" s="574"/>
      <c r="C58" s="385" t="s">
        <v>24</v>
      </c>
      <c r="D58" s="391"/>
      <c r="E58" s="391"/>
      <c r="F58" s="386"/>
      <c r="G58" s="387"/>
      <c r="H58" s="387"/>
      <c r="I58" s="384"/>
      <c r="J58" s="384"/>
      <c r="K58" s="388">
        <f>SUM(K59:K73)</f>
        <v>0</v>
      </c>
      <c r="L58" s="384"/>
      <c r="M58" s="389"/>
      <c r="N58" s="390">
        <f>SUM(N59:N73)</f>
        <v>0</v>
      </c>
      <c r="O58" s="390">
        <f>SUM(O59:O73)</f>
        <v>0</v>
      </c>
      <c r="P58" s="433"/>
      <c r="Q58" s="409"/>
      <c r="R58" s="409"/>
      <c r="S58" s="409"/>
      <c r="T58" s="433"/>
      <c r="U58" s="884"/>
      <c r="V58" s="328"/>
      <c r="W58" s="328"/>
      <c r="X58" s="328"/>
      <c r="Y58" s="328"/>
      <c r="Z58" s="328"/>
      <c r="AA58" s="328"/>
      <c r="AB58" s="328"/>
      <c r="AC58" s="328"/>
      <c r="AD58" s="328"/>
    </row>
    <row r="59" spans="1:31" s="324" customFormat="1" ht="15" customHeight="1">
      <c r="A59" s="422"/>
      <c r="B59" s="578"/>
      <c r="C59" s="408"/>
      <c r="D59" s="752"/>
      <c r="E59" s="638"/>
      <c r="F59" s="649"/>
      <c r="G59" s="325" t="s">
        <v>11</v>
      </c>
      <c r="H59" s="326" t="s">
        <v>12</v>
      </c>
      <c r="I59" s="630">
        <v>0.13020400000000001</v>
      </c>
      <c r="J59" s="763"/>
      <c r="K59" s="327">
        <f aca="true" t="shared" si="6" ref="K59:K73">F59*IF(J59=0,I59,J59)</f>
        <v>0</v>
      </c>
      <c r="L59" s="886">
        <v>69.3</v>
      </c>
      <c r="M59" s="763"/>
      <c r="N59" s="693">
        <f>E59*K59*IF(M59=0,L59,M59)/1000</f>
        <v>0</v>
      </c>
      <c r="O59" s="694">
        <f>(1-E59)*K59*IF(M59=0,L59,M59)/1000</f>
        <v>0</v>
      </c>
      <c r="P59" s="579"/>
      <c r="Q59" s="412"/>
      <c r="R59" s="408"/>
      <c r="S59" s="408"/>
      <c r="T59" s="435"/>
      <c r="U59" s="581"/>
      <c r="V59" s="328"/>
      <c r="W59" s="328"/>
      <c r="X59" s="328"/>
      <c r="Y59" s="328"/>
      <c r="Z59" s="328"/>
      <c r="AA59" s="328"/>
      <c r="AB59" s="328"/>
      <c r="AC59" s="328"/>
      <c r="AD59" s="328"/>
      <c r="AE59" s="328"/>
    </row>
    <row r="60" spans="1:31" s="324" customFormat="1" ht="15" customHeight="1">
      <c r="A60" s="422"/>
      <c r="B60" s="578"/>
      <c r="C60" s="408"/>
      <c r="D60" s="753"/>
      <c r="E60" s="639"/>
      <c r="F60" s="647"/>
      <c r="G60" s="329" t="s">
        <v>13</v>
      </c>
      <c r="H60" s="330" t="s">
        <v>12</v>
      </c>
      <c r="I60" s="631">
        <v>0.1563824</v>
      </c>
      <c r="J60" s="764"/>
      <c r="K60" s="331">
        <f t="shared" si="6"/>
        <v>0</v>
      </c>
      <c r="L60" s="887">
        <v>69.3</v>
      </c>
      <c r="M60" s="764"/>
      <c r="N60" s="693">
        <f aca="true" t="shared" si="7" ref="N60:N73">E60*K60*IF(M60=0,L60,M60)/1000</f>
        <v>0</v>
      </c>
      <c r="O60" s="694">
        <f aca="true" t="shared" si="8" ref="O60:O73">(1-E60)*K60*IF(M60=0,L60,M60)/1000</f>
        <v>0</v>
      </c>
      <c r="P60" s="579"/>
      <c r="Q60" s="412"/>
      <c r="R60" s="408"/>
      <c r="S60" s="408"/>
      <c r="T60" s="435"/>
      <c r="U60" s="328"/>
      <c r="V60" s="328"/>
      <c r="W60" s="328"/>
      <c r="X60" s="328"/>
      <c r="Y60" s="328"/>
      <c r="Z60" s="328"/>
      <c r="AA60" s="328"/>
      <c r="AB60" s="328"/>
      <c r="AC60" s="328"/>
      <c r="AD60" s="328"/>
      <c r="AE60" s="328"/>
    </row>
    <row r="61" spans="1:31" s="324" customFormat="1" ht="15" customHeight="1">
      <c r="A61" s="422"/>
      <c r="B61" s="578"/>
      <c r="C61" s="408"/>
      <c r="D61" s="753"/>
      <c r="E61" s="639"/>
      <c r="F61" s="647"/>
      <c r="G61" s="329" t="s">
        <v>14</v>
      </c>
      <c r="H61" s="330" t="s">
        <v>12</v>
      </c>
      <c r="I61" s="631">
        <v>0.0344</v>
      </c>
      <c r="J61" s="764"/>
      <c r="K61" s="331">
        <f t="shared" si="6"/>
        <v>0</v>
      </c>
      <c r="L61" s="887">
        <v>69.3</v>
      </c>
      <c r="M61" s="764"/>
      <c r="N61" s="693">
        <f t="shared" si="7"/>
        <v>0</v>
      </c>
      <c r="O61" s="694">
        <f t="shared" si="8"/>
        <v>0</v>
      </c>
      <c r="P61" s="579"/>
      <c r="Q61" s="412"/>
      <c r="R61" s="408"/>
      <c r="S61" s="408"/>
      <c r="T61" s="435"/>
      <c r="U61" s="328"/>
      <c r="V61" s="328"/>
      <c r="W61" s="328"/>
      <c r="X61" s="328"/>
      <c r="Y61" s="328"/>
      <c r="Z61" s="328"/>
      <c r="AA61" s="328"/>
      <c r="AB61" s="328"/>
      <c r="AC61" s="328"/>
      <c r="AD61" s="328"/>
      <c r="AE61" s="328"/>
    </row>
    <row r="62" spans="1:31" s="324" customFormat="1" ht="15" customHeight="1" thickBot="1">
      <c r="A62" s="422"/>
      <c r="B62" s="578"/>
      <c r="C62" s="408"/>
      <c r="D62" s="754"/>
      <c r="E62" s="640"/>
      <c r="F62" s="648"/>
      <c r="G62" s="332" t="s">
        <v>15</v>
      </c>
      <c r="H62" s="333" t="s">
        <v>12</v>
      </c>
      <c r="I62" s="632">
        <v>46.5316</v>
      </c>
      <c r="J62" s="765"/>
      <c r="K62" s="334">
        <f t="shared" si="6"/>
        <v>0</v>
      </c>
      <c r="L62" s="670">
        <v>69.3</v>
      </c>
      <c r="M62" s="765"/>
      <c r="N62" s="693">
        <f t="shared" si="7"/>
        <v>0</v>
      </c>
      <c r="O62" s="694">
        <f t="shared" si="8"/>
        <v>0</v>
      </c>
      <c r="P62" s="579"/>
      <c r="Q62" s="412"/>
      <c r="R62" s="408"/>
      <c r="S62" s="408"/>
      <c r="T62" s="435"/>
      <c r="U62" s="328"/>
      <c r="V62" s="328"/>
      <c r="W62" s="328"/>
      <c r="X62" s="328"/>
      <c r="Y62" s="328"/>
      <c r="Z62" s="328"/>
      <c r="AA62" s="328"/>
      <c r="AB62" s="328"/>
      <c r="AC62" s="328"/>
      <c r="AD62" s="328"/>
      <c r="AE62" s="328"/>
    </row>
    <row r="63" spans="1:31" s="324" customFormat="1" ht="15" customHeight="1">
      <c r="A63" s="422"/>
      <c r="B63" s="578"/>
      <c r="C63" s="408"/>
      <c r="D63" s="752"/>
      <c r="E63" s="638"/>
      <c r="F63" s="649"/>
      <c r="G63" s="325" t="s">
        <v>11</v>
      </c>
      <c r="H63" s="326" t="s">
        <v>16</v>
      </c>
      <c r="I63" s="631">
        <v>0.137</v>
      </c>
      <c r="J63" s="763"/>
      <c r="K63" s="327">
        <f t="shared" si="6"/>
        <v>0</v>
      </c>
      <c r="L63" s="667">
        <v>74.1</v>
      </c>
      <c r="M63" s="763"/>
      <c r="N63" s="693">
        <f t="shared" si="7"/>
        <v>0</v>
      </c>
      <c r="O63" s="694">
        <f t="shared" si="8"/>
        <v>0</v>
      </c>
      <c r="P63" s="579"/>
      <c r="Q63" s="412"/>
      <c r="R63" s="408"/>
      <c r="S63" s="408"/>
      <c r="T63" s="435"/>
      <c r="U63" s="328"/>
      <c r="V63" s="328"/>
      <c r="W63" s="328"/>
      <c r="X63" s="328"/>
      <c r="Y63" s="328"/>
      <c r="Z63" s="328"/>
      <c r="AA63" s="328"/>
      <c r="AB63" s="328"/>
      <c r="AC63" s="328"/>
      <c r="AD63" s="328"/>
      <c r="AE63" s="328"/>
    </row>
    <row r="64" spans="1:31" s="324" customFormat="1" ht="15" customHeight="1">
      <c r="A64" s="422"/>
      <c r="B64" s="578"/>
      <c r="C64" s="408"/>
      <c r="D64" s="753"/>
      <c r="E64" s="639"/>
      <c r="F64" s="647"/>
      <c r="G64" s="329" t="s">
        <v>13</v>
      </c>
      <c r="H64" s="330" t="s">
        <v>16</v>
      </c>
      <c r="I64" s="631">
        <v>0.1646</v>
      </c>
      <c r="J64" s="764"/>
      <c r="K64" s="331">
        <f t="shared" si="6"/>
        <v>0</v>
      </c>
      <c r="L64" s="667">
        <v>74.1</v>
      </c>
      <c r="M64" s="764"/>
      <c r="N64" s="693">
        <f t="shared" si="7"/>
        <v>0</v>
      </c>
      <c r="O64" s="694">
        <f t="shared" si="8"/>
        <v>0</v>
      </c>
      <c r="P64" s="579"/>
      <c r="Q64" s="412"/>
      <c r="R64" s="408"/>
      <c r="S64" s="408"/>
      <c r="T64" s="435"/>
      <c r="U64" s="328"/>
      <c r="V64" s="328"/>
      <c r="W64" s="328"/>
      <c r="X64" s="328"/>
      <c r="Y64" s="328"/>
      <c r="Z64" s="328"/>
      <c r="AA64" s="328"/>
      <c r="AB64" s="328"/>
      <c r="AC64" s="328"/>
      <c r="AD64" s="328"/>
      <c r="AE64" s="328"/>
    </row>
    <row r="65" spans="1:31" s="324" customFormat="1" ht="15" customHeight="1">
      <c r="A65" s="422"/>
      <c r="B65" s="578"/>
      <c r="C65" s="408"/>
      <c r="D65" s="753"/>
      <c r="E65" s="639"/>
      <c r="F65" s="647"/>
      <c r="G65" s="329" t="s">
        <v>14</v>
      </c>
      <c r="H65" s="330" t="s">
        <v>16</v>
      </c>
      <c r="I65" s="631">
        <v>0.0362</v>
      </c>
      <c r="J65" s="764"/>
      <c r="K65" s="331">
        <f t="shared" si="6"/>
        <v>0</v>
      </c>
      <c r="L65" s="667">
        <v>74.1</v>
      </c>
      <c r="M65" s="764"/>
      <c r="N65" s="693">
        <f t="shared" si="7"/>
        <v>0</v>
      </c>
      <c r="O65" s="694">
        <f t="shared" si="8"/>
        <v>0</v>
      </c>
      <c r="P65" s="579"/>
      <c r="Q65" s="412"/>
      <c r="R65" s="408"/>
      <c r="S65" s="408"/>
      <c r="T65" s="435"/>
      <c r="U65" s="328"/>
      <c r="V65" s="328"/>
      <c r="W65" s="328"/>
      <c r="X65" s="328"/>
      <c r="Y65" s="328"/>
      <c r="Z65" s="328"/>
      <c r="AA65" s="328"/>
      <c r="AB65" s="328"/>
      <c r="AC65" s="328"/>
      <c r="AD65" s="328"/>
      <c r="AE65" s="328"/>
    </row>
    <row r="66" spans="1:31" s="324" customFormat="1" ht="15" customHeight="1" thickBot="1">
      <c r="A66" s="422"/>
      <c r="B66" s="578"/>
      <c r="C66" s="408"/>
      <c r="D66" s="754"/>
      <c r="E66" s="640"/>
      <c r="F66" s="648"/>
      <c r="G66" s="332" t="s">
        <v>15</v>
      </c>
      <c r="H66" s="333" t="s">
        <v>16</v>
      </c>
      <c r="I66" s="632">
        <v>42.5525</v>
      </c>
      <c r="J66" s="765"/>
      <c r="K66" s="334">
        <f t="shared" si="6"/>
        <v>0</v>
      </c>
      <c r="L66" s="891">
        <v>74.1</v>
      </c>
      <c r="M66" s="765"/>
      <c r="N66" s="693">
        <f t="shared" si="7"/>
        <v>0</v>
      </c>
      <c r="O66" s="694">
        <f t="shared" si="8"/>
        <v>0</v>
      </c>
      <c r="P66" s="579"/>
      <c r="Q66" s="412"/>
      <c r="R66" s="408"/>
      <c r="S66" s="408"/>
      <c r="T66" s="435"/>
      <c r="U66" s="328"/>
      <c r="V66" s="328"/>
      <c r="W66" s="328"/>
      <c r="X66" s="328"/>
      <c r="Y66" s="328"/>
      <c r="Z66" s="328"/>
      <c r="AA66" s="328"/>
      <c r="AB66" s="328"/>
      <c r="AC66" s="328"/>
      <c r="AD66" s="328"/>
      <c r="AE66" s="328"/>
    </row>
    <row r="67" spans="1:31" s="324" customFormat="1" ht="15" customHeight="1">
      <c r="A67" s="422"/>
      <c r="B67" s="578"/>
      <c r="C67" s="408"/>
      <c r="D67" s="753"/>
      <c r="E67" s="639"/>
      <c r="F67" s="647"/>
      <c r="G67" s="329" t="s">
        <v>11</v>
      </c>
      <c r="H67" s="330" t="s">
        <v>382</v>
      </c>
      <c r="I67" s="642">
        <v>0.1533</v>
      </c>
      <c r="J67" s="764"/>
      <c r="K67" s="331">
        <f t="shared" si="6"/>
        <v>0</v>
      </c>
      <c r="L67" s="890">
        <v>77.4</v>
      </c>
      <c r="M67" s="764"/>
      <c r="N67" s="693">
        <f t="shared" si="7"/>
        <v>0</v>
      </c>
      <c r="O67" s="694">
        <f t="shared" si="8"/>
        <v>0</v>
      </c>
      <c r="P67" s="579"/>
      <c r="Q67" s="412"/>
      <c r="R67" s="408"/>
      <c r="S67" s="408"/>
      <c r="T67" s="435"/>
      <c r="U67" s="328"/>
      <c r="V67" s="328"/>
      <c r="W67" s="328"/>
      <c r="X67" s="328"/>
      <c r="Y67" s="328"/>
      <c r="Z67" s="328"/>
      <c r="AA67" s="328"/>
      <c r="AB67" s="328"/>
      <c r="AC67" s="328"/>
      <c r="AD67" s="328"/>
      <c r="AE67" s="328"/>
    </row>
    <row r="68" spans="1:31" s="324" customFormat="1" ht="15" customHeight="1">
      <c r="A68" s="422"/>
      <c r="B68" s="578"/>
      <c r="C68" s="408"/>
      <c r="D68" s="753"/>
      <c r="E68" s="639"/>
      <c r="F68" s="647"/>
      <c r="G68" s="329" t="s">
        <v>21</v>
      </c>
      <c r="H68" s="330" t="s">
        <v>382</v>
      </c>
      <c r="I68" s="643">
        <v>0.1841</v>
      </c>
      <c r="J68" s="764"/>
      <c r="K68" s="331">
        <f t="shared" si="6"/>
        <v>0</v>
      </c>
      <c r="L68" s="667">
        <v>77.4</v>
      </c>
      <c r="M68" s="764"/>
      <c r="N68" s="693">
        <f t="shared" si="7"/>
        <v>0</v>
      </c>
      <c r="O68" s="694">
        <f t="shared" si="8"/>
        <v>0</v>
      </c>
      <c r="P68" s="579"/>
      <c r="Q68" s="412"/>
      <c r="R68" s="408"/>
      <c r="S68" s="408"/>
      <c r="T68" s="435"/>
      <c r="U68" s="328"/>
      <c r="V68" s="328"/>
      <c r="W68" s="328"/>
      <c r="X68" s="328"/>
      <c r="Y68" s="328"/>
      <c r="Z68" s="328"/>
      <c r="AA68" s="328"/>
      <c r="AB68" s="328"/>
      <c r="AC68" s="328"/>
      <c r="AD68" s="328"/>
      <c r="AE68" s="328"/>
    </row>
    <row r="69" spans="1:31" s="324" customFormat="1" ht="15" customHeight="1">
      <c r="A69" s="422"/>
      <c r="B69" s="578"/>
      <c r="C69" s="408"/>
      <c r="D69" s="753"/>
      <c r="E69" s="639"/>
      <c r="F69" s="647"/>
      <c r="G69" s="329" t="s">
        <v>384</v>
      </c>
      <c r="H69" s="330" t="s">
        <v>382</v>
      </c>
      <c r="I69" s="643">
        <v>6.439</v>
      </c>
      <c r="J69" s="764"/>
      <c r="K69" s="331">
        <f t="shared" si="6"/>
        <v>0</v>
      </c>
      <c r="L69" s="667">
        <v>77.4</v>
      </c>
      <c r="M69" s="764"/>
      <c r="N69" s="693">
        <f t="shared" si="7"/>
        <v>0</v>
      </c>
      <c r="O69" s="694">
        <f t="shared" si="8"/>
        <v>0</v>
      </c>
      <c r="P69" s="579"/>
      <c r="Q69" s="412"/>
      <c r="R69" s="408"/>
      <c r="S69" s="408"/>
      <c r="T69" s="435"/>
      <c r="U69" s="328"/>
      <c r="V69" s="328"/>
      <c r="W69" s="328"/>
      <c r="X69" s="328"/>
      <c r="Y69" s="328"/>
      <c r="Z69" s="328"/>
      <c r="AA69" s="328"/>
      <c r="AB69" s="328"/>
      <c r="AC69" s="328"/>
      <c r="AD69" s="328"/>
      <c r="AE69" s="328"/>
    </row>
    <row r="70" spans="1:31" s="324" customFormat="1" ht="15" customHeight="1" thickBot="1">
      <c r="A70" s="422"/>
      <c r="B70" s="578"/>
      <c r="C70" s="408"/>
      <c r="D70" s="754"/>
      <c r="E70" s="640"/>
      <c r="F70" s="648"/>
      <c r="G70" s="332" t="s">
        <v>15</v>
      </c>
      <c r="H70" s="333" t="s">
        <v>382</v>
      </c>
      <c r="I70" s="897">
        <v>40</v>
      </c>
      <c r="J70" s="765"/>
      <c r="K70" s="334">
        <f t="shared" si="6"/>
        <v>0</v>
      </c>
      <c r="L70" s="891">
        <v>77.4</v>
      </c>
      <c r="M70" s="765"/>
      <c r="N70" s="693">
        <f t="shared" si="7"/>
        <v>0</v>
      </c>
      <c r="O70" s="694">
        <f t="shared" si="8"/>
        <v>0</v>
      </c>
      <c r="P70" s="579"/>
      <c r="Q70" s="412"/>
      <c r="R70" s="408"/>
      <c r="S70" s="408"/>
      <c r="T70" s="435"/>
      <c r="U70" s="328"/>
      <c r="V70" s="328"/>
      <c r="W70" s="328"/>
      <c r="X70" s="328"/>
      <c r="Y70" s="328"/>
      <c r="Z70" s="328"/>
      <c r="AA70" s="328"/>
      <c r="AB70" s="328"/>
      <c r="AC70" s="328"/>
      <c r="AD70" s="328"/>
      <c r="AE70" s="328"/>
    </row>
    <row r="71" spans="1:31" s="324" customFormat="1" ht="15" customHeight="1">
      <c r="A71" s="422"/>
      <c r="B71" s="578"/>
      <c r="C71" s="408"/>
      <c r="D71" s="752"/>
      <c r="E71" s="638"/>
      <c r="F71" s="649"/>
      <c r="G71" s="325" t="s">
        <v>22</v>
      </c>
      <c r="H71" s="326" t="s">
        <v>383</v>
      </c>
      <c r="I71" s="633">
        <v>27.42</v>
      </c>
      <c r="J71" s="763"/>
      <c r="K71" s="327">
        <f t="shared" si="6"/>
        <v>0</v>
      </c>
      <c r="L71" s="893">
        <v>94.6</v>
      </c>
      <c r="M71" s="763"/>
      <c r="N71" s="693">
        <f t="shared" si="7"/>
        <v>0</v>
      </c>
      <c r="O71" s="694">
        <f t="shared" si="8"/>
        <v>0</v>
      </c>
      <c r="P71" s="579"/>
      <c r="Q71" s="412"/>
      <c r="R71" s="408"/>
      <c r="S71" s="408"/>
      <c r="T71" s="435"/>
      <c r="U71" s="328"/>
      <c r="V71" s="328"/>
      <c r="W71" s="328"/>
      <c r="X71" s="328"/>
      <c r="Y71" s="328"/>
      <c r="Z71" s="328"/>
      <c r="AA71" s="328"/>
      <c r="AB71" s="328"/>
      <c r="AC71" s="328"/>
      <c r="AD71" s="328"/>
      <c r="AE71" s="328"/>
    </row>
    <row r="72" spans="1:31" s="324" customFormat="1" ht="15" customHeight="1">
      <c r="A72" s="422"/>
      <c r="B72" s="578"/>
      <c r="C72" s="408"/>
      <c r="D72" s="753"/>
      <c r="E72" s="639"/>
      <c r="F72" s="647"/>
      <c r="G72" s="329" t="s">
        <v>15</v>
      </c>
      <c r="H72" s="330" t="s">
        <v>383</v>
      </c>
      <c r="I72" s="633">
        <v>30.23</v>
      </c>
      <c r="J72" s="764"/>
      <c r="K72" s="331">
        <f t="shared" si="6"/>
        <v>0</v>
      </c>
      <c r="L72" s="645">
        <v>94.6</v>
      </c>
      <c r="M72" s="764"/>
      <c r="N72" s="693">
        <f t="shared" si="7"/>
        <v>0</v>
      </c>
      <c r="O72" s="694">
        <f t="shared" si="8"/>
        <v>0</v>
      </c>
      <c r="P72" s="579"/>
      <c r="Q72" s="412"/>
      <c r="R72" s="408"/>
      <c r="S72" s="408"/>
      <c r="T72" s="435"/>
      <c r="U72" s="328"/>
      <c r="V72" s="328"/>
      <c r="W72" s="328"/>
      <c r="X72" s="328"/>
      <c r="Y72" s="328"/>
      <c r="Z72" s="328"/>
      <c r="AA72" s="328"/>
      <c r="AB72" s="328"/>
      <c r="AC72" s="328"/>
      <c r="AD72" s="328"/>
      <c r="AE72" s="328"/>
    </row>
    <row r="73" spans="1:31" s="324" customFormat="1" ht="14.25" customHeight="1" thickBot="1">
      <c r="A73" s="422"/>
      <c r="B73" s="578"/>
      <c r="C73" s="408"/>
      <c r="D73" s="758"/>
      <c r="E73" s="641"/>
      <c r="F73" s="650"/>
      <c r="G73" s="338"/>
      <c r="H73" s="339" t="s">
        <v>23</v>
      </c>
      <c r="I73" s="644"/>
      <c r="J73" s="766"/>
      <c r="K73" s="337">
        <f t="shared" si="6"/>
        <v>0</v>
      </c>
      <c r="L73" s="646"/>
      <c r="M73" s="769"/>
      <c r="N73" s="693">
        <f t="shared" si="7"/>
        <v>0</v>
      </c>
      <c r="O73" s="694">
        <f t="shared" si="8"/>
        <v>0</v>
      </c>
      <c r="P73" s="579"/>
      <c r="Q73" s="412"/>
      <c r="R73" s="408"/>
      <c r="S73" s="408"/>
      <c r="T73" s="435"/>
      <c r="U73" s="328"/>
      <c r="V73" s="328"/>
      <c r="W73" s="328"/>
      <c r="X73" s="328"/>
      <c r="Y73" s="328"/>
      <c r="Z73" s="328"/>
      <c r="AA73" s="328"/>
      <c r="AB73" s="328"/>
      <c r="AC73" s="328"/>
      <c r="AD73" s="328"/>
      <c r="AE73" s="328"/>
    </row>
    <row r="74" spans="1:31" s="324" customFormat="1" ht="1.5" customHeight="1" hidden="1" thickBot="1">
      <c r="A74" s="422"/>
      <c r="B74" s="581"/>
      <c r="C74" s="582" t="s">
        <v>25</v>
      </c>
      <c r="D74" s="340"/>
      <c r="E74" s="340"/>
      <c r="F74" s="341"/>
      <c r="G74" s="342"/>
      <c r="H74" s="328"/>
      <c r="I74" s="343"/>
      <c r="J74" s="344"/>
      <c r="K74" s="345"/>
      <c r="L74" s="328"/>
      <c r="M74" s="328"/>
      <c r="N74" s="346"/>
      <c r="O74" s="689"/>
      <c r="P74" s="579"/>
      <c r="Q74" s="412"/>
      <c r="R74" s="408"/>
      <c r="S74" s="408"/>
      <c r="T74" s="435"/>
      <c r="U74" s="328"/>
      <c r="V74" s="328"/>
      <c r="W74" s="328"/>
      <c r="X74" s="328"/>
      <c r="Y74" s="328"/>
      <c r="Z74" s="328"/>
      <c r="AA74" s="328"/>
      <c r="AB74" s="328"/>
      <c r="AC74" s="328"/>
      <c r="AD74" s="328"/>
      <c r="AE74" s="328"/>
    </row>
    <row r="75" spans="1:20" s="322" customFormat="1" ht="20.25" customHeight="1" thickBot="1">
      <c r="A75" s="423"/>
      <c r="B75" s="574"/>
      <c r="C75" s="672" t="s">
        <v>322</v>
      </c>
      <c r="D75" s="673"/>
      <c r="E75" s="683"/>
      <c r="F75" s="674"/>
      <c r="G75" s="675"/>
      <c r="H75" s="675"/>
      <c r="I75" s="676"/>
      <c r="J75" s="675"/>
      <c r="K75" s="677"/>
      <c r="L75" s="675"/>
      <c r="M75" s="675"/>
      <c r="N75" s="677">
        <f>(SUM(N27:N74)+N25)/2</f>
        <v>0</v>
      </c>
      <c r="O75" s="677">
        <f>(SUM(O27:O74)+O25)/2</f>
        <v>0</v>
      </c>
      <c r="P75" s="433"/>
      <c r="Q75" s="574"/>
      <c r="R75" s="409"/>
      <c r="S75" s="409"/>
      <c r="T75" s="433"/>
    </row>
    <row r="76" spans="2:20" s="392" customFormat="1" ht="20.25" customHeight="1" thickBot="1">
      <c r="B76" s="555"/>
      <c r="C76" s="659"/>
      <c r="D76" s="436"/>
      <c r="E76" s="436"/>
      <c r="F76" s="436"/>
      <c r="G76" s="436"/>
      <c r="H76" s="436"/>
      <c r="I76" s="436"/>
      <c r="J76" s="436"/>
      <c r="K76" s="436"/>
      <c r="L76" s="436"/>
      <c r="M76" s="671"/>
      <c r="N76" s="436"/>
      <c r="O76" s="436"/>
      <c r="P76" s="436"/>
      <c r="Q76" s="555"/>
      <c r="R76" s="436"/>
      <c r="S76" s="436"/>
      <c r="T76" s="437"/>
    </row>
    <row r="77" spans="1:18" ht="15" customHeight="1" thickTop="1">
      <c r="A77" s="348"/>
      <c r="B77" s="349"/>
      <c r="C77" s="349"/>
      <c r="D77" s="349"/>
      <c r="E77" s="349"/>
      <c r="F77" s="349"/>
      <c r="G77" s="349"/>
      <c r="H77" s="349"/>
      <c r="I77" s="349"/>
      <c r="J77" s="790"/>
      <c r="K77" s="349"/>
      <c r="L77" s="349"/>
      <c r="M77" s="349"/>
      <c r="N77" s="349"/>
      <c r="O77" s="349"/>
      <c r="P77" s="349"/>
      <c r="Q77" s="349"/>
      <c r="R77" s="319"/>
    </row>
    <row r="78" spans="5:17" s="319" customFormat="1" ht="15" customHeight="1">
      <c r="E78" s="665"/>
      <c r="K78" s="350"/>
      <c r="L78" s="350"/>
      <c r="M78" s="350"/>
      <c r="N78" s="350"/>
      <c r="O78" s="350"/>
      <c r="P78" s="350"/>
      <c r="Q78" s="350"/>
    </row>
    <row r="79" spans="2:28" s="4" customFormat="1" ht="18" customHeight="1" thickBot="1">
      <c r="B79" s="465"/>
      <c r="C79" s="465"/>
      <c r="D79" s="465"/>
      <c r="E79" s="466"/>
      <c r="F79" s="467"/>
      <c r="G79" s="468"/>
      <c r="H79" s="469"/>
      <c r="I79" s="469"/>
      <c r="J79" s="469"/>
      <c r="K79" s="469"/>
      <c r="L79" s="1"/>
      <c r="M79" s="1"/>
      <c r="N79" s="1"/>
      <c r="O79" s="1"/>
      <c r="P79" s="469"/>
      <c r="Q79" s="469"/>
      <c r="R79" s="469"/>
      <c r="S79" s="469"/>
      <c r="T79" s="469"/>
      <c r="U79" s="469"/>
      <c r="W79" s="469"/>
      <c r="X79" s="469"/>
      <c r="Y79" s="469"/>
      <c r="AA79" s="469"/>
      <c r="AB79" s="469"/>
    </row>
    <row r="80" spans="2:28" s="4" customFormat="1" ht="29.25" customHeight="1" thickTop="1">
      <c r="B80" s="554" t="s">
        <v>235</v>
      </c>
      <c r="C80" s="583"/>
      <c r="D80" s="583"/>
      <c r="E80" s="583"/>
      <c r="F80" s="583"/>
      <c r="G80" s="583"/>
      <c r="H80" s="583"/>
      <c r="I80" s="583"/>
      <c r="J80" s="583"/>
      <c r="K80" s="583"/>
      <c r="L80" s="583"/>
      <c r="M80" s="583"/>
      <c r="N80" s="583"/>
      <c r="O80" s="583"/>
      <c r="P80" s="65"/>
      <c r="Q80" s="55"/>
      <c r="R80" s="55"/>
      <c r="S80" s="55"/>
      <c r="T80" s="55"/>
      <c r="U80" s="56"/>
      <c r="V80" s="54"/>
      <c r="W80" s="55"/>
      <c r="X80" s="55"/>
      <c r="Y80" s="55"/>
      <c r="Z80" s="55"/>
      <c r="AA80" s="55"/>
      <c r="AB80" s="56"/>
    </row>
    <row r="81" spans="1:41" ht="28.5" customHeight="1">
      <c r="A81" s="419"/>
      <c r="B81" s="584"/>
      <c r="C81" s="457" t="s">
        <v>704</v>
      </c>
      <c r="D81" s="458"/>
      <c r="E81" s="458"/>
      <c r="F81" s="458"/>
      <c r="G81" s="459"/>
      <c r="H81" s="460"/>
      <c r="I81" s="460"/>
      <c r="J81" s="460"/>
      <c r="K81" s="461"/>
      <c r="L81" s="461"/>
      <c r="M81" s="460"/>
      <c r="N81" s="461"/>
      <c r="O81" s="461"/>
      <c r="P81" s="411"/>
      <c r="Q81" s="411"/>
      <c r="R81" s="411"/>
      <c r="S81" s="411"/>
      <c r="T81" s="411"/>
      <c r="U81" s="432"/>
      <c r="V81" s="57"/>
      <c r="W81" s="65"/>
      <c r="X81" s="191"/>
      <c r="Y81" s="191"/>
      <c r="Z81" s="191"/>
      <c r="AA81" s="65"/>
      <c r="AB81" s="58"/>
      <c r="AC81" s="503"/>
      <c r="AD81" s="1"/>
      <c r="AE81" s="794"/>
      <c r="AF81" s="1"/>
      <c r="AG81" s="1"/>
      <c r="AH81" s="1"/>
      <c r="AI81" s="1"/>
      <c r="AJ81" s="1"/>
      <c r="AK81" s="1"/>
      <c r="AL81" s="1"/>
      <c r="AM81" s="1"/>
      <c r="AN81" s="1"/>
      <c r="AO81" s="319"/>
    </row>
    <row r="82" spans="1:28" s="4" customFormat="1" ht="18" customHeight="1">
      <c r="A82" s="355"/>
      <c r="B82" s="585"/>
      <c r="C82" s="462"/>
      <c r="D82" s="462"/>
      <c r="E82" s="462"/>
      <c r="F82" s="463"/>
      <c r="G82" s="464"/>
      <c r="H82" s="191"/>
      <c r="I82" s="65"/>
      <c r="J82" s="65"/>
      <c r="K82" s="65"/>
      <c r="L82" s="65"/>
      <c r="M82" s="65"/>
      <c r="N82" s="65"/>
      <c r="O82" s="65"/>
      <c r="P82" s="65"/>
      <c r="Q82" s="65"/>
      <c r="R82" s="65"/>
      <c r="S82" s="65"/>
      <c r="T82" s="65"/>
      <c r="U82" s="58"/>
      <c r="V82" s="88"/>
      <c r="W82" s="487"/>
      <c r="X82" s="488"/>
      <c r="Y82" s="488"/>
      <c r="Z82" s="488"/>
      <c r="AA82" s="486"/>
      <c r="AB82" s="85"/>
    </row>
    <row r="83" spans="2:28" s="4" customFormat="1" ht="18" customHeight="1">
      <c r="B83" s="470" t="s">
        <v>53</v>
      </c>
      <c r="C83" s="65"/>
      <c r="D83" s="191"/>
      <c r="E83" s="191"/>
      <c r="F83" s="191"/>
      <c r="G83" s="191"/>
      <c r="H83" s="65"/>
      <c r="I83" s="65"/>
      <c r="J83" s="65"/>
      <c r="K83" s="65"/>
      <c r="L83" s="65"/>
      <c r="M83" s="65"/>
      <c r="N83" s="65"/>
      <c r="O83" s="65"/>
      <c r="P83" s="65"/>
      <c r="Q83" s="65"/>
      <c r="R83" s="65"/>
      <c r="S83" s="65"/>
      <c r="T83" s="65"/>
      <c r="U83" s="58"/>
      <c r="V83" s="88"/>
      <c r="W83" s="489"/>
      <c r="X83" s="536" t="s">
        <v>703</v>
      </c>
      <c r="Y83" s="537"/>
      <c r="Z83" s="537"/>
      <c r="AA83" s="538"/>
      <c r="AB83" s="85"/>
    </row>
    <row r="84" spans="2:28" s="4" customFormat="1" ht="18" customHeight="1">
      <c r="B84" s="57"/>
      <c r="C84" s="65"/>
      <c r="D84" s="151"/>
      <c r="E84" s="952" t="s">
        <v>507</v>
      </c>
      <c r="F84" s="973"/>
      <c r="G84" s="952" t="s">
        <v>522</v>
      </c>
      <c r="H84" s="972"/>
      <c r="I84" s="973"/>
      <c r="J84" s="952" t="s">
        <v>523</v>
      </c>
      <c r="K84" s="953"/>
      <c r="L84" s="954"/>
      <c r="M84" s="952" t="s">
        <v>524</v>
      </c>
      <c r="N84" s="953"/>
      <c r="O84" s="954"/>
      <c r="P84" s="65"/>
      <c r="Q84" s="65"/>
      <c r="R84" s="65"/>
      <c r="S84" s="65"/>
      <c r="T84" s="65"/>
      <c r="U84" s="58"/>
      <c r="V84" s="88"/>
      <c r="W84" s="959" t="s">
        <v>695</v>
      </c>
      <c r="X84" s="960"/>
      <c r="Y84" s="960"/>
      <c r="Z84" s="960"/>
      <c r="AA84" s="961"/>
      <c r="AB84" s="85"/>
    </row>
    <row r="85" spans="2:28" s="4" customFormat="1" ht="38.25">
      <c r="B85" s="57"/>
      <c r="C85" s="65"/>
      <c r="D85" s="151"/>
      <c r="E85" s="438" t="s">
        <v>447</v>
      </c>
      <c r="F85" s="164" t="s">
        <v>448</v>
      </c>
      <c r="G85" s="164" t="s">
        <v>401</v>
      </c>
      <c r="H85" s="3" t="s">
        <v>550</v>
      </c>
      <c r="I85" s="127" t="s">
        <v>402</v>
      </c>
      <c r="J85" s="128" t="s">
        <v>403</v>
      </c>
      <c r="K85" s="223" t="s">
        <v>406</v>
      </c>
      <c r="L85" s="223" t="s">
        <v>416</v>
      </c>
      <c r="M85" s="128" t="s">
        <v>403</v>
      </c>
      <c r="N85" s="223" t="s">
        <v>406</v>
      </c>
      <c r="O85" s="223" t="s">
        <v>416</v>
      </c>
      <c r="P85" s="65"/>
      <c r="Q85" s="65"/>
      <c r="R85" s="65"/>
      <c r="S85" s="65"/>
      <c r="T85" s="65"/>
      <c r="U85" s="58"/>
      <c r="V85" s="88"/>
      <c r="W85" s="39" t="s">
        <v>415</v>
      </c>
      <c r="X85" s="34" t="s">
        <v>692</v>
      </c>
      <c r="Y85" s="34" t="s">
        <v>378</v>
      </c>
      <c r="Z85" s="34" t="s">
        <v>379</v>
      </c>
      <c r="AA85" s="255" t="s">
        <v>693</v>
      </c>
      <c r="AB85" s="85"/>
    </row>
    <row r="86" spans="2:28" s="4" customFormat="1" ht="96" customHeight="1">
      <c r="B86" s="67"/>
      <c r="C86" s="135"/>
      <c r="D86" s="152"/>
      <c r="E86" s="699" t="s">
        <v>428</v>
      </c>
      <c r="F86" s="165" t="s">
        <v>551</v>
      </c>
      <c r="G86" s="5" t="s">
        <v>32</v>
      </c>
      <c r="H86" s="5" t="s">
        <v>33</v>
      </c>
      <c r="I86" s="5" t="s">
        <v>34</v>
      </c>
      <c r="J86" s="701" t="s">
        <v>36</v>
      </c>
      <c r="K86" s="701" t="s">
        <v>37</v>
      </c>
      <c r="L86" s="701" t="s">
        <v>38</v>
      </c>
      <c r="M86" s="701" t="s">
        <v>47</v>
      </c>
      <c r="N86" s="701" t="s">
        <v>48</v>
      </c>
      <c r="O86" s="701" t="s">
        <v>49</v>
      </c>
      <c r="P86" s="65"/>
      <c r="Q86" s="65"/>
      <c r="R86" s="65"/>
      <c r="S86" s="65"/>
      <c r="T86" s="65"/>
      <c r="U86" s="58"/>
      <c r="V86" s="88"/>
      <c r="W86" s="43" t="s">
        <v>453</v>
      </c>
      <c r="X86" s="185"/>
      <c r="Y86" s="185"/>
      <c r="Z86" s="185"/>
      <c r="AA86" s="256"/>
      <c r="AB86" s="85"/>
    </row>
    <row r="87" spans="2:28" s="4" customFormat="1" ht="35.25" customHeight="1">
      <c r="B87" s="57"/>
      <c r="C87" s="65"/>
      <c r="D87" s="151"/>
      <c r="E87" s="700"/>
      <c r="F87" s="187" t="s">
        <v>242</v>
      </c>
      <c r="G87" s="187" t="s">
        <v>35</v>
      </c>
      <c r="H87" s="187" t="s">
        <v>244</v>
      </c>
      <c r="I87" s="187" t="s">
        <v>245</v>
      </c>
      <c r="J87" s="8" t="s">
        <v>43</v>
      </c>
      <c r="K87" s="8" t="s">
        <v>44</v>
      </c>
      <c r="L87" s="8" t="s">
        <v>45</v>
      </c>
      <c r="M87" s="8" t="s">
        <v>50</v>
      </c>
      <c r="N87" s="8" t="s">
        <v>51</v>
      </c>
      <c r="O87" s="8" t="s">
        <v>52</v>
      </c>
      <c r="P87" s="65"/>
      <c r="Q87" s="65"/>
      <c r="R87" s="65"/>
      <c r="S87" s="65"/>
      <c r="T87" s="65"/>
      <c r="U87" s="58"/>
      <c r="V87" s="88"/>
      <c r="W87" s="40" t="s">
        <v>696</v>
      </c>
      <c r="X87" s="40">
        <v>69.3</v>
      </c>
      <c r="Y87" s="40">
        <v>0.05</v>
      </c>
      <c r="Z87" s="40">
        <v>0.002</v>
      </c>
      <c r="AA87" s="257">
        <f aca="true" t="shared" si="9" ref="AA87:AA92">X87+25*Y87+298*Z87</f>
        <v>71.146</v>
      </c>
      <c r="AB87" s="85"/>
    </row>
    <row r="88" spans="2:28" s="4" customFormat="1" ht="42.75" customHeight="1">
      <c r="B88" s="57"/>
      <c r="C88" s="65"/>
      <c r="D88" s="151"/>
      <c r="E88" s="700"/>
      <c r="F88" s="187"/>
      <c r="G88" s="956" t="s">
        <v>31</v>
      </c>
      <c r="H88" s="957"/>
      <c r="I88" s="958"/>
      <c r="J88" s="8"/>
      <c r="K88" s="136"/>
      <c r="L88" s="136"/>
      <c r="M88" s="8"/>
      <c r="N88" s="136"/>
      <c r="O88" s="136"/>
      <c r="P88" s="65"/>
      <c r="Q88" s="65"/>
      <c r="R88" s="65"/>
      <c r="S88" s="65"/>
      <c r="T88" s="65"/>
      <c r="U88" s="58"/>
      <c r="V88" s="88"/>
      <c r="W88" s="40" t="s">
        <v>701</v>
      </c>
      <c r="X88" s="40">
        <v>69.3</v>
      </c>
      <c r="Y88" s="40">
        <v>0.13</v>
      </c>
      <c r="Z88" s="40">
        <v>0.0004</v>
      </c>
      <c r="AA88" s="257">
        <f t="shared" si="9"/>
        <v>72.6692</v>
      </c>
      <c r="AB88" s="85"/>
    </row>
    <row r="89" spans="2:28" s="4" customFormat="1" ht="27.75" customHeight="1">
      <c r="B89" s="57"/>
      <c r="C89" s="253" t="s">
        <v>552</v>
      </c>
      <c r="D89" s="254" t="s">
        <v>420</v>
      </c>
      <c r="E89" s="801">
        <v>0.75</v>
      </c>
      <c r="F89" s="69">
        <v>1000000</v>
      </c>
      <c r="G89" s="84">
        <v>55.9</v>
      </c>
      <c r="H89" s="771">
        <v>0.005</v>
      </c>
      <c r="I89" s="772">
        <v>0.0001</v>
      </c>
      <c r="J89" s="137">
        <f>$E89*$F89*G89/1000</f>
        <v>41925</v>
      </c>
      <c r="K89" s="192">
        <f>$E89*$F89*H89/1000</f>
        <v>3.75</v>
      </c>
      <c r="L89" s="197">
        <f>$E89*$F89*I89/1000</f>
        <v>0.075</v>
      </c>
      <c r="M89" s="137">
        <f>(1-$E89)*$F89*G89/1000</f>
        <v>13975</v>
      </c>
      <c r="N89" s="192">
        <f>(1-$E89)*$F89*H89/1000</f>
        <v>1.25</v>
      </c>
      <c r="O89" s="197">
        <f>(1-$E89)*$F89*I89/1000</f>
        <v>0.025</v>
      </c>
      <c r="P89" s="65"/>
      <c r="Q89" s="65"/>
      <c r="R89" s="65"/>
      <c r="S89" s="65"/>
      <c r="T89" s="65"/>
      <c r="U89" s="58"/>
      <c r="V89" s="88"/>
      <c r="W89" s="40" t="s">
        <v>650</v>
      </c>
      <c r="X89" s="40">
        <v>69.3</v>
      </c>
      <c r="Y89" s="40">
        <v>0.17</v>
      </c>
      <c r="Z89" s="40">
        <v>0.0004</v>
      </c>
      <c r="AA89" s="257">
        <f t="shared" si="9"/>
        <v>73.6692</v>
      </c>
      <c r="AB89" s="85"/>
    </row>
    <row r="90" spans="2:28" s="4" customFormat="1" ht="18" customHeight="1">
      <c r="B90" s="82"/>
      <c r="C90" s="41" t="s">
        <v>417</v>
      </c>
      <c r="D90" s="154" t="s">
        <v>415</v>
      </c>
      <c r="E90" s="698" t="s">
        <v>234</v>
      </c>
      <c r="F90" s="12"/>
      <c r="G90" s="12"/>
      <c r="H90" s="11"/>
      <c r="I90" s="36"/>
      <c r="J90" s="138"/>
      <c r="K90" s="138"/>
      <c r="L90" s="12"/>
      <c r="M90" s="138"/>
      <c r="N90" s="138"/>
      <c r="O90" s="12"/>
      <c r="P90" s="65"/>
      <c r="Q90" s="65"/>
      <c r="R90" s="65"/>
      <c r="S90" s="65"/>
      <c r="T90" s="65"/>
      <c r="U90" s="58"/>
      <c r="V90" s="88"/>
      <c r="W90" s="40" t="s">
        <v>702</v>
      </c>
      <c r="X90" s="40">
        <v>71.9</v>
      </c>
      <c r="Y90" s="40">
        <v>0.003</v>
      </c>
      <c r="Z90" s="40">
        <v>0.0006</v>
      </c>
      <c r="AA90" s="257">
        <f t="shared" si="9"/>
        <v>72.1538</v>
      </c>
      <c r="AB90" s="85"/>
    </row>
    <row r="91" spans="2:28" s="4" customFormat="1" ht="38.25">
      <c r="B91" s="57"/>
      <c r="C91" s="748"/>
      <c r="D91" s="749"/>
      <c r="E91" s="723"/>
      <c r="F91" s="721"/>
      <c r="G91" s="721"/>
      <c r="H91" s="817"/>
      <c r="I91" s="811"/>
      <c r="J91" s="774">
        <f>$E91*$F91*G91/1000</f>
        <v>0</v>
      </c>
      <c r="K91" s="134">
        <f>$E91*$F91*H91/1000</f>
        <v>0</v>
      </c>
      <c r="L91" s="220">
        <f>$E91*$F91*I91/1000</f>
        <v>0</v>
      </c>
      <c r="M91" s="774">
        <f>(1-$E91)*$F91*G91/1000</f>
        <v>0</v>
      </c>
      <c r="N91" s="134">
        <f>(1-$E91)*$F91*H91/1000</f>
        <v>0</v>
      </c>
      <c r="O91" s="220">
        <f>(1-$E91)*$F91*I91/1000</f>
        <v>0</v>
      </c>
      <c r="P91" s="65"/>
      <c r="Q91" s="65"/>
      <c r="R91" s="65"/>
      <c r="S91" s="65"/>
      <c r="T91" s="65"/>
      <c r="U91" s="58"/>
      <c r="V91" s="88"/>
      <c r="W91" s="40" t="s">
        <v>766</v>
      </c>
      <c r="X91" s="40">
        <v>74.1</v>
      </c>
      <c r="Y91" s="40">
        <v>0.004</v>
      </c>
      <c r="Z91" s="40">
        <v>0.03</v>
      </c>
      <c r="AA91" s="257">
        <f t="shared" si="9"/>
        <v>83.13999999999999</v>
      </c>
      <c r="AB91" s="85"/>
    </row>
    <row r="92" spans="2:28" s="4" customFormat="1" ht="18" customHeight="1">
      <c r="B92" s="57"/>
      <c r="C92" s="748"/>
      <c r="D92" s="749"/>
      <c r="E92" s="723"/>
      <c r="F92" s="721"/>
      <c r="G92" s="721"/>
      <c r="H92" s="817"/>
      <c r="I92" s="811"/>
      <c r="J92" s="774">
        <f aca="true" t="shared" si="10" ref="J92:J104">$E92*$F92*G92/1000</f>
        <v>0</v>
      </c>
      <c r="K92" s="134">
        <f aca="true" t="shared" si="11" ref="K92:K104">$E92*$F92*H92/1000</f>
        <v>0</v>
      </c>
      <c r="L92" s="220">
        <f aca="true" t="shared" si="12" ref="L92:L104">$E92*$F92*I92/1000</f>
        <v>0</v>
      </c>
      <c r="M92" s="774">
        <f aca="true" t="shared" si="13" ref="M92:M104">(1-$E92)*$F92*G92/1000</f>
        <v>0</v>
      </c>
      <c r="N92" s="134">
        <f aca="true" t="shared" si="14" ref="N92:N104">(1-$E92)*$F92*H92/1000</f>
        <v>0</v>
      </c>
      <c r="O92" s="220">
        <f aca="true" t="shared" si="15" ref="O92:O104">(1-$E92)*$F92*I92/1000</f>
        <v>0</v>
      </c>
      <c r="P92" s="65"/>
      <c r="Q92" s="65"/>
      <c r="R92" s="65"/>
      <c r="S92" s="65"/>
      <c r="T92" s="65"/>
      <c r="U92" s="58"/>
      <c r="V92" s="88"/>
      <c r="W92" s="40" t="s">
        <v>706</v>
      </c>
      <c r="X92" s="40">
        <v>63.1</v>
      </c>
      <c r="Y92" s="40">
        <v>0.062</v>
      </c>
      <c r="Z92" s="40">
        <v>0.0002</v>
      </c>
      <c r="AA92" s="257">
        <f t="shared" si="9"/>
        <v>64.70960000000001</v>
      </c>
      <c r="AB92" s="85"/>
    </row>
    <row r="93" spans="2:28" s="4" customFormat="1" ht="41.25" customHeight="1">
      <c r="B93" s="57"/>
      <c r="C93" s="748"/>
      <c r="D93" s="749"/>
      <c r="E93" s="723"/>
      <c r="F93" s="721"/>
      <c r="G93" s="721"/>
      <c r="H93" s="817"/>
      <c r="I93" s="811"/>
      <c r="J93" s="774">
        <f t="shared" si="10"/>
        <v>0</v>
      </c>
      <c r="K93" s="134">
        <f t="shared" si="11"/>
        <v>0</v>
      </c>
      <c r="L93" s="220">
        <f t="shared" si="12"/>
        <v>0</v>
      </c>
      <c r="M93" s="774">
        <f t="shared" si="13"/>
        <v>0</v>
      </c>
      <c r="N93" s="134">
        <f t="shared" si="14"/>
        <v>0</v>
      </c>
      <c r="O93" s="220">
        <f t="shared" si="15"/>
        <v>0</v>
      </c>
      <c r="P93" s="65"/>
      <c r="Q93" s="65"/>
      <c r="R93" s="65"/>
      <c r="S93" s="65"/>
      <c r="T93" s="65"/>
      <c r="U93" s="58"/>
      <c r="V93" s="88"/>
      <c r="W93" s="42" t="s">
        <v>452</v>
      </c>
      <c r="X93" s="42"/>
      <c r="Y93" s="42"/>
      <c r="Z93" s="42"/>
      <c r="AA93" s="256"/>
      <c r="AB93" s="85"/>
    </row>
    <row r="94" spans="2:28" s="4" customFormat="1" ht="18" customHeight="1">
      <c r="B94" s="57"/>
      <c r="C94" s="748"/>
      <c r="D94" s="749"/>
      <c r="E94" s="723"/>
      <c r="F94" s="721"/>
      <c r="G94" s="721"/>
      <c r="H94" s="817"/>
      <c r="I94" s="811"/>
      <c r="J94" s="774">
        <f t="shared" si="10"/>
        <v>0</v>
      </c>
      <c r="K94" s="134">
        <f t="shared" si="11"/>
        <v>0</v>
      </c>
      <c r="L94" s="220">
        <f t="shared" si="12"/>
        <v>0</v>
      </c>
      <c r="M94" s="774">
        <f t="shared" si="13"/>
        <v>0</v>
      </c>
      <c r="N94" s="134">
        <f t="shared" si="14"/>
        <v>0</v>
      </c>
      <c r="O94" s="220">
        <f t="shared" si="15"/>
        <v>0</v>
      </c>
      <c r="P94" s="65"/>
      <c r="Q94" s="65"/>
      <c r="R94" s="65"/>
      <c r="S94" s="65"/>
      <c r="T94" s="65"/>
      <c r="U94" s="58"/>
      <c r="V94" s="88"/>
      <c r="W94" s="40" t="s">
        <v>707</v>
      </c>
      <c r="X94" s="40">
        <v>56.1</v>
      </c>
      <c r="Y94" s="40">
        <v>0.092</v>
      </c>
      <c r="Z94" s="40">
        <v>0.003</v>
      </c>
      <c r="AA94" s="257">
        <f>X94+25*Y94+298*Z94</f>
        <v>59.294</v>
      </c>
      <c r="AB94" s="85"/>
    </row>
    <row r="95" spans="2:28" s="4" customFormat="1" ht="18" customHeight="1">
      <c r="B95" s="57"/>
      <c r="C95" s="748"/>
      <c r="D95" s="749"/>
      <c r="E95" s="723"/>
      <c r="F95" s="721"/>
      <c r="G95" s="721"/>
      <c r="H95" s="817"/>
      <c r="I95" s="811"/>
      <c r="J95" s="774">
        <f t="shared" si="10"/>
        <v>0</v>
      </c>
      <c r="K95" s="134">
        <f t="shared" si="11"/>
        <v>0</v>
      </c>
      <c r="L95" s="220">
        <f t="shared" si="12"/>
        <v>0</v>
      </c>
      <c r="M95" s="774">
        <f t="shared" si="13"/>
        <v>0</v>
      </c>
      <c r="N95" s="134">
        <f t="shared" si="14"/>
        <v>0</v>
      </c>
      <c r="O95" s="220">
        <f t="shared" si="15"/>
        <v>0</v>
      </c>
      <c r="P95" s="65"/>
      <c r="Q95" s="65"/>
      <c r="R95" s="65"/>
      <c r="S95" s="65"/>
      <c r="T95" s="65"/>
      <c r="U95" s="58"/>
      <c r="V95" s="88"/>
      <c r="W95" s="130"/>
      <c r="X95" s="94"/>
      <c r="Y95" s="157"/>
      <c r="Z95" s="119"/>
      <c r="AA95" s="119"/>
      <c r="AB95" s="788"/>
    </row>
    <row r="96" spans="2:28" s="4" customFormat="1" ht="18" customHeight="1">
      <c r="B96" s="57"/>
      <c r="C96" s="748"/>
      <c r="D96" s="749"/>
      <c r="E96" s="723"/>
      <c r="F96" s="721"/>
      <c r="G96" s="721"/>
      <c r="H96" s="817"/>
      <c r="I96" s="811"/>
      <c r="J96" s="774">
        <f t="shared" si="10"/>
        <v>0</v>
      </c>
      <c r="K96" s="134">
        <f t="shared" si="11"/>
        <v>0</v>
      </c>
      <c r="L96" s="220">
        <f t="shared" si="12"/>
        <v>0</v>
      </c>
      <c r="M96" s="774">
        <f t="shared" si="13"/>
        <v>0</v>
      </c>
      <c r="N96" s="134">
        <f t="shared" si="14"/>
        <v>0</v>
      </c>
      <c r="O96" s="220">
        <f t="shared" si="15"/>
        <v>0</v>
      </c>
      <c r="P96" s="65"/>
      <c r="Q96" s="65"/>
      <c r="R96" s="65"/>
      <c r="S96" s="65"/>
      <c r="T96" s="65"/>
      <c r="U96" s="58"/>
      <c r="V96" s="88"/>
      <c r="W96" s="224" t="s">
        <v>708</v>
      </c>
      <c r="X96" s="94"/>
      <c r="Y96" s="157"/>
      <c r="Z96" s="119"/>
      <c r="AA96" s="119"/>
      <c r="AB96" s="788"/>
    </row>
    <row r="97" spans="2:28" s="4" customFormat="1" ht="18" customHeight="1">
      <c r="B97" s="57"/>
      <c r="C97" s="748"/>
      <c r="D97" s="749"/>
      <c r="E97" s="723"/>
      <c r="F97" s="721"/>
      <c r="G97" s="721"/>
      <c r="H97" s="817"/>
      <c r="I97" s="811"/>
      <c r="J97" s="774">
        <f t="shared" si="10"/>
        <v>0</v>
      </c>
      <c r="K97" s="134">
        <f t="shared" si="11"/>
        <v>0</v>
      </c>
      <c r="L97" s="220">
        <f t="shared" si="12"/>
        <v>0</v>
      </c>
      <c r="M97" s="774">
        <f t="shared" si="13"/>
        <v>0</v>
      </c>
      <c r="N97" s="134">
        <f t="shared" si="14"/>
        <v>0</v>
      </c>
      <c r="O97" s="220">
        <f t="shared" si="15"/>
        <v>0</v>
      </c>
      <c r="P97" s="65"/>
      <c r="Q97" s="65"/>
      <c r="R97" s="65"/>
      <c r="S97" s="65"/>
      <c r="T97" s="65"/>
      <c r="U97" s="58"/>
      <c r="V97" s="88"/>
      <c r="W97" s="224" t="s">
        <v>705</v>
      </c>
      <c r="X97" s="224"/>
      <c r="Y97" s="130"/>
      <c r="Z97" s="130"/>
      <c r="AA97" s="898"/>
      <c r="AB97" s="58"/>
    </row>
    <row r="98" spans="2:28" s="4" customFormat="1" ht="18" customHeight="1">
      <c r="B98" s="57"/>
      <c r="C98" s="748"/>
      <c r="D98" s="749"/>
      <c r="E98" s="723"/>
      <c r="F98" s="721"/>
      <c r="G98" s="721"/>
      <c r="H98" s="817"/>
      <c r="I98" s="811"/>
      <c r="J98" s="774">
        <f t="shared" si="10"/>
        <v>0</v>
      </c>
      <c r="K98" s="134">
        <f t="shared" si="11"/>
        <v>0</v>
      </c>
      <c r="L98" s="220">
        <f t="shared" si="12"/>
        <v>0</v>
      </c>
      <c r="M98" s="774">
        <f t="shared" si="13"/>
        <v>0</v>
      </c>
      <c r="N98" s="134">
        <f t="shared" si="14"/>
        <v>0</v>
      </c>
      <c r="O98" s="220">
        <f t="shared" si="15"/>
        <v>0</v>
      </c>
      <c r="P98" s="65"/>
      <c r="Q98" s="65"/>
      <c r="R98" s="65"/>
      <c r="S98" s="65"/>
      <c r="T98" s="65"/>
      <c r="U98" s="58"/>
      <c r="V98" s="88"/>
      <c r="W98" s="224"/>
      <c r="X98" s="224"/>
      <c r="Y98" s="785"/>
      <c r="Z98" s="785"/>
      <c r="AA98" s="785"/>
      <c r="AB98" s="800"/>
    </row>
    <row r="99" spans="2:28" s="4" customFormat="1" ht="18" customHeight="1">
      <c r="B99" s="57"/>
      <c r="C99" s="748"/>
      <c r="D99" s="749"/>
      <c r="E99" s="723"/>
      <c r="F99" s="721"/>
      <c r="G99" s="721"/>
      <c r="H99" s="817"/>
      <c r="I99" s="811"/>
      <c r="J99" s="774">
        <f t="shared" si="10"/>
        <v>0</v>
      </c>
      <c r="K99" s="134">
        <f t="shared" si="11"/>
        <v>0</v>
      </c>
      <c r="L99" s="220">
        <f t="shared" si="12"/>
        <v>0</v>
      </c>
      <c r="M99" s="774">
        <f t="shared" si="13"/>
        <v>0</v>
      </c>
      <c r="N99" s="134">
        <f t="shared" si="14"/>
        <v>0</v>
      </c>
      <c r="O99" s="220">
        <f t="shared" si="15"/>
        <v>0</v>
      </c>
      <c r="P99" s="65"/>
      <c r="Q99" s="65"/>
      <c r="R99" s="65"/>
      <c r="S99" s="65"/>
      <c r="T99" s="65"/>
      <c r="U99" s="58"/>
      <c r="V99" s="88"/>
      <c r="W99" s="94"/>
      <c r="X99" s="94"/>
      <c r="Y99" s="130"/>
      <c r="Z99" s="130"/>
      <c r="AA99" s="130"/>
      <c r="AB99" s="795"/>
    </row>
    <row r="100" spans="2:28" s="4" customFormat="1" ht="18" customHeight="1" thickBot="1">
      <c r="B100" s="57"/>
      <c r="C100" s="748"/>
      <c r="D100" s="749"/>
      <c r="E100" s="723"/>
      <c r="F100" s="721"/>
      <c r="G100" s="721"/>
      <c r="H100" s="817"/>
      <c r="I100" s="811"/>
      <c r="J100" s="774">
        <f t="shared" si="10"/>
        <v>0</v>
      </c>
      <c r="K100" s="134">
        <f t="shared" si="11"/>
        <v>0</v>
      </c>
      <c r="L100" s="220">
        <f t="shared" si="12"/>
        <v>0</v>
      </c>
      <c r="M100" s="774">
        <f t="shared" si="13"/>
        <v>0</v>
      </c>
      <c r="N100" s="134">
        <f t="shared" si="14"/>
        <v>0</v>
      </c>
      <c r="O100" s="220">
        <f t="shared" si="15"/>
        <v>0</v>
      </c>
      <c r="P100" s="65"/>
      <c r="Q100" s="65"/>
      <c r="R100" s="65"/>
      <c r="S100" s="65"/>
      <c r="T100" s="65"/>
      <c r="U100" s="58"/>
      <c r="V100" s="91"/>
      <c r="W100" s="659"/>
      <c r="X100" s="659"/>
      <c r="Y100" s="659"/>
      <c r="Z100" s="659"/>
      <c r="AA100" s="659"/>
      <c r="AB100" s="796"/>
    </row>
    <row r="101" spans="2:21" s="4" customFormat="1" ht="18" customHeight="1" thickTop="1">
      <c r="B101" s="57"/>
      <c r="C101" s="748"/>
      <c r="D101" s="749"/>
      <c r="E101" s="723"/>
      <c r="F101" s="721"/>
      <c r="G101" s="721"/>
      <c r="H101" s="817"/>
      <c r="I101" s="811"/>
      <c r="J101" s="774">
        <f t="shared" si="10"/>
        <v>0</v>
      </c>
      <c r="K101" s="134">
        <f t="shared" si="11"/>
        <v>0</v>
      </c>
      <c r="L101" s="220">
        <f t="shared" si="12"/>
        <v>0</v>
      </c>
      <c r="M101" s="774">
        <f t="shared" si="13"/>
        <v>0</v>
      </c>
      <c r="N101" s="134">
        <f t="shared" si="14"/>
        <v>0</v>
      </c>
      <c r="O101" s="220">
        <f t="shared" si="15"/>
        <v>0</v>
      </c>
      <c r="P101" s="65"/>
      <c r="Q101" s="65"/>
      <c r="R101" s="65"/>
      <c r="S101" s="65"/>
      <c r="T101" s="65"/>
      <c r="U101" s="58"/>
    </row>
    <row r="102" spans="2:28" s="4" customFormat="1" ht="18" customHeight="1">
      <c r="B102" s="57"/>
      <c r="C102" s="748"/>
      <c r="D102" s="749"/>
      <c r="E102" s="723"/>
      <c r="F102" s="721"/>
      <c r="G102" s="721"/>
      <c r="H102" s="817"/>
      <c r="I102" s="811"/>
      <c r="J102" s="774">
        <f t="shared" si="10"/>
        <v>0</v>
      </c>
      <c r="K102" s="134">
        <f t="shared" si="11"/>
        <v>0</v>
      </c>
      <c r="L102" s="220">
        <f t="shared" si="12"/>
        <v>0</v>
      </c>
      <c r="M102" s="774">
        <f t="shared" si="13"/>
        <v>0</v>
      </c>
      <c r="N102" s="134">
        <f t="shared" si="14"/>
        <v>0</v>
      </c>
      <c r="O102" s="220">
        <f t="shared" si="15"/>
        <v>0</v>
      </c>
      <c r="P102" s="65"/>
      <c r="Q102" s="65"/>
      <c r="R102" s="65"/>
      <c r="S102" s="65"/>
      <c r="T102" s="65"/>
      <c r="U102" s="58"/>
      <c r="V102" s="307"/>
      <c r="W102" s="307"/>
      <c r="X102" s="307"/>
      <c r="Y102" s="307"/>
      <c r="Z102" s="307"/>
      <c r="AA102" s="307"/>
      <c r="AB102" s="307"/>
    </row>
    <row r="103" spans="2:28" s="4" customFormat="1" ht="18" customHeight="1">
      <c r="B103" s="57"/>
      <c r="C103" s="748"/>
      <c r="D103" s="751"/>
      <c r="E103" s="724"/>
      <c r="F103" s="721"/>
      <c r="G103" s="721"/>
      <c r="H103" s="817"/>
      <c r="I103" s="811"/>
      <c r="J103" s="774">
        <f t="shared" si="10"/>
        <v>0</v>
      </c>
      <c r="K103" s="134">
        <f t="shared" si="11"/>
        <v>0</v>
      </c>
      <c r="L103" s="220">
        <f t="shared" si="12"/>
        <v>0</v>
      </c>
      <c r="M103" s="774">
        <f t="shared" si="13"/>
        <v>0</v>
      </c>
      <c r="N103" s="134">
        <f t="shared" si="14"/>
        <v>0</v>
      </c>
      <c r="O103" s="220">
        <f t="shared" si="15"/>
        <v>0</v>
      </c>
      <c r="P103" s="65"/>
      <c r="Q103" s="65"/>
      <c r="R103" s="65"/>
      <c r="S103" s="65"/>
      <c r="T103" s="65"/>
      <c r="U103" s="58"/>
      <c r="V103" s="307"/>
      <c r="W103" s="307"/>
      <c r="X103" s="307"/>
      <c r="Y103" s="307"/>
      <c r="Z103" s="307"/>
      <c r="AA103" s="307"/>
      <c r="AB103" s="307"/>
    </row>
    <row r="104" spans="2:28" s="4" customFormat="1" ht="18" customHeight="1">
      <c r="B104" s="57"/>
      <c r="C104" s="748"/>
      <c r="D104" s="749"/>
      <c r="E104" s="723"/>
      <c r="F104" s="721"/>
      <c r="G104" s="721"/>
      <c r="H104" s="817"/>
      <c r="I104" s="811"/>
      <c r="J104" s="774">
        <f t="shared" si="10"/>
        <v>0</v>
      </c>
      <c r="K104" s="134">
        <f t="shared" si="11"/>
        <v>0</v>
      </c>
      <c r="L104" s="220">
        <f t="shared" si="12"/>
        <v>0</v>
      </c>
      <c r="M104" s="774">
        <f t="shared" si="13"/>
        <v>0</v>
      </c>
      <c r="N104" s="134">
        <f t="shared" si="14"/>
        <v>0</v>
      </c>
      <c r="O104" s="220">
        <f t="shared" si="15"/>
        <v>0</v>
      </c>
      <c r="P104" s="65"/>
      <c r="Q104" s="65"/>
      <c r="R104" s="65"/>
      <c r="S104" s="65"/>
      <c r="T104" s="65"/>
      <c r="U104" s="58"/>
      <c r="V104" s="307"/>
      <c r="W104" s="307"/>
      <c r="X104" s="307"/>
      <c r="Y104" s="307"/>
      <c r="Z104" s="307"/>
      <c r="AA104" s="307"/>
      <c r="AB104" s="307"/>
    </row>
    <row r="105" spans="2:28" s="4" customFormat="1" ht="18" customHeight="1">
      <c r="B105" s="78"/>
      <c r="C105" s="79"/>
      <c r="D105" s="155"/>
      <c r="E105" s="155"/>
      <c r="F105" s="155"/>
      <c r="G105" s="155"/>
      <c r="H105" s="79"/>
      <c r="I105" s="79"/>
      <c r="J105" s="970" t="s">
        <v>39</v>
      </c>
      <c r="K105" s="971"/>
      <c r="L105" s="970"/>
      <c r="M105" s="970" t="s">
        <v>46</v>
      </c>
      <c r="N105" s="971"/>
      <c r="O105" s="970"/>
      <c r="P105" s="65"/>
      <c r="Q105" s="65"/>
      <c r="R105" s="65"/>
      <c r="S105" s="65"/>
      <c r="T105" s="65"/>
      <c r="U105" s="58"/>
      <c r="V105" s="307"/>
      <c r="W105" s="307"/>
      <c r="X105" s="307"/>
      <c r="Y105" s="307"/>
      <c r="Z105" s="307"/>
      <c r="AA105" s="307"/>
      <c r="AB105" s="307"/>
    </row>
    <row r="106" spans="2:28" s="4" customFormat="1" ht="18" customHeight="1">
      <c r="B106" s="78"/>
      <c r="C106" s="224"/>
      <c r="D106" s="224"/>
      <c r="E106" s="224"/>
      <c r="F106" s="224"/>
      <c r="G106" s="224"/>
      <c r="H106" s="224"/>
      <c r="I106" s="224"/>
      <c r="J106" s="802" t="s">
        <v>40</v>
      </c>
      <c r="K106" s="802" t="s">
        <v>41</v>
      </c>
      <c r="L106" s="802" t="s">
        <v>42</v>
      </c>
      <c r="M106" s="802" t="s">
        <v>40</v>
      </c>
      <c r="N106" s="802" t="s">
        <v>41</v>
      </c>
      <c r="O106" s="802" t="s">
        <v>42</v>
      </c>
      <c r="P106" s="65"/>
      <c r="Q106" s="65"/>
      <c r="R106" s="65"/>
      <c r="S106" s="65"/>
      <c r="T106" s="65"/>
      <c r="U106" s="58"/>
      <c r="V106" s="307"/>
      <c r="W106" s="307"/>
      <c r="X106" s="307"/>
      <c r="Y106" s="307"/>
      <c r="Z106" s="307"/>
      <c r="AA106" s="307"/>
      <c r="AB106" s="307"/>
    </row>
    <row r="107" spans="2:28" s="4" customFormat="1" ht="23.25" customHeight="1">
      <c r="B107" s="57"/>
      <c r="C107" s="679" t="s">
        <v>321</v>
      </c>
      <c r="D107" s="680"/>
      <c r="E107" s="680"/>
      <c r="F107" s="680"/>
      <c r="G107" s="680"/>
      <c r="H107" s="680"/>
      <c r="I107" s="680"/>
      <c r="J107" s="803">
        <f aca="true" t="shared" si="16" ref="J107:O107">SUM(J91:J104)</f>
        <v>0</v>
      </c>
      <c r="K107" s="141">
        <f t="shared" si="16"/>
        <v>0</v>
      </c>
      <c r="L107" s="141">
        <f t="shared" si="16"/>
        <v>0</v>
      </c>
      <c r="M107" s="803">
        <f t="shared" si="16"/>
        <v>0</v>
      </c>
      <c r="N107" s="141">
        <f t="shared" si="16"/>
        <v>0</v>
      </c>
      <c r="O107" s="141">
        <f t="shared" si="16"/>
        <v>0</v>
      </c>
      <c r="P107" s="65"/>
      <c r="Q107" s="65"/>
      <c r="R107" s="65"/>
      <c r="S107" s="65"/>
      <c r="T107" s="65"/>
      <c r="U107" s="58"/>
      <c r="V107" s="307"/>
      <c r="W107" s="307"/>
      <c r="X107" s="307"/>
      <c r="Y107" s="307"/>
      <c r="Z107" s="307"/>
      <c r="AA107" s="307"/>
      <c r="AB107" s="307"/>
    </row>
    <row r="108" spans="2:28" s="4" customFormat="1" ht="18" customHeight="1">
      <c r="B108" s="57"/>
      <c r="C108" s="65"/>
      <c r="D108" s="191"/>
      <c r="E108" s="191"/>
      <c r="F108" s="191"/>
      <c r="G108" s="191"/>
      <c r="H108" s="65"/>
      <c r="I108" s="65"/>
      <c r="J108" s="65"/>
      <c r="K108" s="65"/>
      <c r="L108" s="65"/>
      <c r="M108" s="65"/>
      <c r="N108" s="65"/>
      <c r="O108" s="65"/>
      <c r="P108" s="65"/>
      <c r="Q108" s="65"/>
      <c r="R108" s="65"/>
      <c r="S108" s="65"/>
      <c r="T108" s="65"/>
      <c r="U108" s="58"/>
      <c r="V108" s="307"/>
      <c r="W108" s="307"/>
      <c r="X108" s="307"/>
      <c r="Y108" s="307"/>
      <c r="Z108" s="307"/>
      <c r="AA108" s="307"/>
      <c r="AB108" s="307"/>
    </row>
    <row r="109" spans="2:28" s="4" customFormat="1" ht="18" customHeight="1" thickBot="1">
      <c r="B109" s="80"/>
      <c r="C109" s="81"/>
      <c r="D109" s="156"/>
      <c r="E109" s="156"/>
      <c r="F109" s="156"/>
      <c r="G109" s="156"/>
      <c r="H109" s="81"/>
      <c r="I109" s="81"/>
      <c r="J109" s="81"/>
      <c r="K109" s="81"/>
      <c r="L109" s="81"/>
      <c r="M109" s="81"/>
      <c r="N109" s="81"/>
      <c r="O109" s="81"/>
      <c r="P109" s="81"/>
      <c r="Q109" s="81"/>
      <c r="R109" s="81"/>
      <c r="S109" s="81"/>
      <c r="T109" s="81"/>
      <c r="U109" s="77"/>
      <c r="V109" s="307"/>
      <c r="W109" s="307"/>
      <c r="X109" s="307"/>
      <c r="Y109" s="307"/>
      <c r="Z109" s="307"/>
      <c r="AA109" s="307"/>
      <c r="AB109" s="307"/>
    </row>
    <row r="110" spans="1:21" ht="15" customHeight="1" thickTop="1">
      <c r="A110" s="4"/>
      <c r="B110" s="4"/>
      <c r="C110" s="4"/>
      <c r="D110" s="4"/>
      <c r="E110" s="4"/>
      <c r="F110" s="4"/>
      <c r="G110" s="4"/>
      <c r="H110" s="4"/>
      <c r="I110" s="4"/>
      <c r="J110" s="4"/>
      <c r="K110" s="4"/>
      <c r="L110" s="4"/>
      <c r="M110" s="4"/>
      <c r="N110" s="4"/>
      <c r="O110" s="4"/>
      <c r="P110" s="148"/>
      <c r="Q110" s="148"/>
      <c r="R110" s="148"/>
      <c r="S110" s="4"/>
      <c r="T110" s="4"/>
      <c r="U110" s="4"/>
    </row>
    <row r="111" spans="11:12" ht="12.75" thickBot="1">
      <c r="K111" s="319"/>
      <c r="L111" s="805"/>
    </row>
    <row r="112" spans="2:15" ht="18.75" thickTop="1">
      <c r="B112" s="471"/>
      <c r="C112" s="472"/>
      <c r="D112" s="473"/>
      <c r="E112" s="472"/>
      <c r="F112" s="472"/>
      <c r="G112" s="472"/>
      <c r="H112" s="472"/>
      <c r="I112" s="966" t="s">
        <v>275</v>
      </c>
      <c r="J112" s="967"/>
      <c r="K112" s="968"/>
      <c r="L112" s="969" t="s">
        <v>276</v>
      </c>
      <c r="M112" s="968"/>
      <c r="N112" s="968"/>
      <c r="O112" s="475"/>
    </row>
    <row r="113" spans="2:16" ht="14.25">
      <c r="B113" s="443"/>
      <c r="C113" s="411"/>
      <c r="D113" s="446"/>
      <c r="E113" s="411"/>
      <c r="F113" s="411"/>
      <c r="G113" s="411"/>
      <c r="H113" s="411"/>
      <c r="I113" s="802" t="s">
        <v>40</v>
      </c>
      <c r="J113" s="802" t="s">
        <v>41</v>
      </c>
      <c r="K113" s="802" t="s">
        <v>42</v>
      </c>
      <c r="L113" s="802" t="s">
        <v>40</v>
      </c>
      <c r="M113" s="802" t="s">
        <v>41</v>
      </c>
      <c r="N113" s="802" t="s">
        <v>42</v>
      </c>
      <c r="O113" s="804"/>
      <c r="P113" s="664"/>
    </row>
    <row r="114" spans="2:16" ht="18">
      <c r="B114" s="443"/>
      <c r="C114" s="347"/>
      <c r="D114" s="446"/>
      <c r="E114" s="411"/>
      <c r="F114" s="411"/>
      <c r="G114" s="411"/>
      <c r="H114" s="548" t="s">
        <v>57</v>
      </c>
      <c r="I114" s="860">
        <f>SUM(N75,J107)</f>
        <v>0</v>
      </c>
      <c r="J114" s="860">
        <f>K107</f>
        <v>0</v>
      </c>
      <c r="K114" s="860">
        <f>L107</f>
        <v>0</v>
      </c>
      <c r="L114" s="860">
        <f>SUM(O75,M107)</f>
        <v>0</v>
      </c>
      <c r="M114" s="860">
        <f>N107</f>
        <v>0</v>
      </c>
      <c r="N114" s="860">
        <f>O107</f>
        <v>0</v>
      </c>
      <c r="O114" s="140"/>
      <c r="P114" s="664"/>
    </row>
    <row r="115" spans="2:15" ht="15" customHeight="1">
      <c r="B115" s="443"/>
      <c r="C115" s="474"/>
      <c r="D115" s="446"/>
      <c r="E115" s="411"/>
      <c r="F115" s="411"/>
      <c r="G115" s="411"/>
      <c r="H115" s="550" t="s">
        <v>324</v>
      </c>
      <c r="I115" s="549"/>
      <c r="J115" s="292"/>
      <c r="K115" s="292"/>
      <c r="L115" s="292"/>
      <c r="M115" s="140"/>
      <c r="N115" s="140"/>
      <c r="O115" s="476"/>
    </row>
    <row r="116" spans="2:15" ht="15" customHeight="1" thickBot="1">
      <c r="B116" s="447"/>
      <c r="C116" s="449"/>
      <c r="D116" s="448"/>
      <c r="E116" s="449"/>
      <c r="F116" s="449"/>
      <c r="G116" s="449"/>
      <c r="H116" s="449"/>
      <c r="I116" s="448"/>
      <c r="J116" s="449"/>
      <c r="K116" s="449"/>
      <c r="L116" s="449"/>
      <c r="M116" s="449"/>
      <c r="N116" s="449"/>
      <c r="O116" s="477"/>
    </row>
    <row r="117" ht="15" customHeight="1" thickTop="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sheetData>
  <sheetProtection password="CD08" sheet="1" objects="1" scenarios="1"/>
  <mergeCells count="17">
    <mergeCell ref="B12:C12"/>
    <mergeCell ref="I112:K112"/>
    <mergeCell ref="L112:N112"/>
    <mergeCell ref="J105:L105"/>
    <mergeCell ref="M105:O105"/>
    <mergeCell ref="G84:I84"/>
    <mergeCell ref="E84:F84"/>
    <mergeCell ref="W84:AA84"/>
    <mergeCell ref="M84:O84"/>
    <mergeCell ref="J84:L84"/>
    <mergeCell ref="G88:I88"/>
    <mergeCell ref="C4:K4"/>
    <mergeCell ref="B9:C9"/>
    <mergeCell ref="C6:L6"/>
    <mergeCell ref="E21:E24"/>
    <mergeCell ref="B10:C10"/>
    <mergeCell ref="B11:C11"/>
  </mergeCells>
  <printOptions horizontalCentered="1" verticalCentered="1"/>
  <pageMargins left="0.75" right="0.75" top="0.75" bottom="1" header="0.5" footer="0.5"/>
  <pageSetup fitToHeight="2" fitToWidth="1" horizontalDpi="600" verticalDpi="600" orientation="landscape" scale="39" r:id="rId3"/>
  <headerFooter alignWithMargins="0">
    <oddHeader>&amp;L&amp;D&amp;R&amp;F</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F355"/>
  <sheetViews>
    <sheetView zoomScale="75" zoomScaleNormal="75" zoomScalePageLayoutView="0" workbookViewId="0" topLeftCell="A1">
      <selection activeCell="A1" sqref="A1"/>
    </sheetView>
  </sheetViews>
  <sheetFormatPr defaultColWidth="9.7109375" defaultRowHeight="12.75"/>
  <cols>
    <col min="1" max="1" width="9.140625" style="4" customWidth="1"/>
    <col min="2" max="2" width="3.8515625" style="4" customWidth="1"/>
    <col min="3" max="3" width="31.57421875" style="4" customWidth="1"/>
    <col min="4" max="4" width="24.140625" style="4" customWidth="1"/>
    <col min="5" max="5" width="17.8515625" style="148" customWidth="1"/>
    <col min="6" max="6" width="24.00390625" style="148" customWidth="1"/>
    <col min="7" max="7" width="19.421875" style="148" customWidth="1"/>
    <col min="8" max="8" width="16.421875" style="4" customWidth="1"/>
    <col min="9" max="9" width="15.57421875" style="4" customWidth="1"/>
    <col min="10" max="10" width="18.7109375" style="4" customWidth="1"/>
    <col min="11" max="11" width="17.140625" style="4" customWidth="1"/>
    <col min="12" max="12" width="16.140625" style="4" customWidth="1"/>
    <col min="13" max="13" width="15.57421875" style="4" customWidth="1"/>
    <col min="14" max="15" width="16.421875" style="4" customWidth="1"/>
    <col min="16" max="16" width="15.00390625" style="4" customWidth="1"/>
    <col min="17" max="17" width="16.00390625" style="4" customWidth="1"/>
    <col min="18" max="18" width="19.140625" style="4" customWidth="1"/>
    <col min="19" max="19" width="17.57421875" style="4" customWidth="1"/>
    <col min="20" max="20" width="15.8515625" style="4" customWidth="1"/>
    <col min="21" max="21" width="16.8515625" style="4" customWidth="1"/>
    <col min="22" max="22" width="16.28125" style="4" customWidth="1"/>
    <col min="23" max="57" width="14.28125" style="4" customWidth="1"/>
    <col min="58" max="16384" width="9.7109375" style="4" customWidth="1"/>
  </cols>
  <sheetData>
    <row r="1" spans="3:4" ht="42" customHeight="1">
      <c r="C1" s="512" t="s">
        <v>731</v>
      </c>
      <c r="D1" s="38"/>
    </row>
    <row r="2" spans="3:4" ht="24" customHeight="1">
      <c r="C2" s="38" t="s">
        <v>732</v>
      </c>
      <c r="D2" s="38"/>
    </row>
    <row r="3" spans="1:3" ht="18" customHeight="1">
      <c r="A3" s="38"/>
      <c r="C3" s="4" t="s">
        <v>354</v>
      </c>
    </row>
    <row r="5" spans="2:10" ht="36.75" customHeight="1">
      <c r="B5" s="946" t="s">
        <v>355</v>
      </c>
      <c r="C5" s="947"/>
      <c r="D5" s="947"/>
      <c r="E5" s="947"/>
      <c r="F5" s="947"/>
      <c r="G5" s="947"/>
      <c r="H5" s="948"/>
      <c r="I5" s="948"/>
      <c r="J5" s="949"/>
    </row>
    <row r="7" ht="18" customHeight="1" thickBot="1">
      <c r="A7" s="38"/>
    </row>
    <row r="8" spans="1:5" ht="18" customHeight="1" thickTop="1">
      <c r="A8" s="38"/>
      <c r="B8" s="504" t="s">
        <v>307</v>
      </c>
      <c r="C8" s="495"/>
      <c r="D8" s="499"/>
      <c r="E8" s="501"/>
    </row>
    <row r="9" spans="1:5" ht="18" customHeight="1">
      <c r="A9" s="38"/>
      <c r="B9" s="943" t="s">
        <v>728</v>
      </c>
      <c r="C9" s="944"/>
      <c r="D9" s="160"/>
      <c r="E9" s="502"/>
    </row>
    <row r="10" spans="1:5" ht="18" customHeight="1">
      <c r="A10" s="38"/>
      <c r="B10" s="943" t="s">
        <v>393</v>
      </c>
      <c r="C10" s="944"/>
      <c r="D10" s="161"/>
      <c r="E10" s="502"/>
    </row>
    <row r="11" spans="1:5" ht="18" customHeight="1">
      <c r="A11" s="38"/>
      <c r="B11" s="943" t="s">
        <v>399</v>
      </c>
      <c r="C11" s="944"/>
      <c r="D11" s="163"/>
      <c r="E11" s="502"/>
    </row>
    <row r="12" spans="2:19" ht="18" customHeight="1" thickBot="1">
      <c r="B12" s="505"/>
      <c r="C12" s="465"/>
      <c r="D12" s="465"/>
      <c r="E12" s="507"/>
      <c r="F12" s="159"/>
      <c r="G12" s="167"/>
      <c r="H12" s="1"/>
      <c r="I12" s="1"/>
      <c r="J12" s="1"/>
      <c r="K12" s="1"/>
      <c r="L12" s="1"/>
      <c r="M12" s="1"/>
      <c r="N12" s="1"/>
      <c r="O12" s="1"/>
      <c r="P12" s="1"/>
      <c r="Q12" s="1"/>
      <c r="R12" s="1"/>
      <c r="S12" s="1"/>
    </row>
    <row r="13" spans="2:19" ht="27" customHeight="1" thickBot="1" thickTop="1">
      <c r="B13" s="19"/>
      <c r="C13" s="230"/>
      <c r="D13" s="19"/>
      <c r="E13" s="149"/>
      <c r="F13" s="159"/>
      <c r="G13" s="167"/>
      <c r="H13" s="1"/>
      <c r="I13" s="1"/>
      <c r="J13" s="1"/>
      <c r="K13" s="1"/>
      <c r="L13" s="1"/>
      <c r="M13" s="1"/>
      <c r="N13" s="1"/>
      <c r="O13" s="1"/>
      <c r="P13" s="1"/>
      <c r="Q13" s="1"/>
      <c r="R13" s="1"/>
      <c r="S13" s="1"/>
    </row>
    <row r="14" spans="2:19" ht="57" customHeight="1" thickBot="1" thickTop="1">
      <c r="B14" s="250"/>
      <c r="C14" s="983" t="s">
        <v>733</v>
      </c>
      <c r="D14" s="984"/>
      <c r="E14" s="984"/>
      <c r="F14" s="984"/>
      <c r="G14" s="984"/>
      <c r="H14" s="251"/>
      <c r="I14" s="251"/>
      <c r="J14" s="251"/>
      <c r="K14" s="251"/>
      <c r="L14" s="251"/>
      <c r="M14" s="251"/>
      <c r="N14" s="251"/>
      <c r="O14" s="252"/>
      <c r="P14" s="1"/>
      <c r="Q14" s="1"/>
      <c r="R14" s="1"/>
      <c r="S14" s="1"/>
    </row>
    <row r="15" spans="2:19" ht="36" customHeight="1" thickTop="1">
      <c r="B15" s="57"/>
      <c r="C15" s="899" t="s">
        <v>390</v>
      </c>
      <c r="D15" s="982"/>
      <c r="E15" s="982"/>
      <c r="F15" s="982"/>
      <c r="G15" s="982"/>
      <c r="H15" s="65"/>
      <c r="I15" s="65"/>
      <c r="J15" s="65"/>
      <c r="K15" s="65"/>
      <c r="L15" s="65"/>
      <c r="M15" s="55"/>
      <c r="N15" s="65"/>
      <c r="O15" s="65"/>
      <c r="P15" s="503"/>
      <c r="Q15" s="1"/>
      <c r="R15" s="1"/>
      <c r="S15" s="1"/>
    </row>
    <row r="16" spans="2:20" ht="18" customHeight="1">
      <c r="B16" s="57"/>
      <c r="C16" s="99"/>
      <c r="D16" s="191"/>
      <c r="E16" s="191"/>
      <c r="F16" s="191"/>
      <c r="G16" s="191"/>
      <c r="H16" s="65"/>
      <c r="I16" s="65"/>
      <c r="J16" s="65"/>
      <c r="K16" s="65"/>
      <c r="L16" s="65"/>
      <c r="M16" s="65"/>
      <c r="N16" s="65"/>
      <c r="O16" s="58"/>
      <c r="P16" s="1"/>
      <c r="Q16" s="1"/>
      <c r="R16" s="1"/>
      <c r="S16" s="1"/>
      <c r="T16" s="1"/>
    </row>
    <row r="17" spans="2:20" ht="18" customHeight="1">
      <c r="B17" s="57"/>
      <c r="C17" s="99"/>
      <c r="D17" s="191"/>
      <c r="E17" s="990" t="s">
        <v>507</v>
      </c>
      <c r="F17" s="972"/>
      <c r="G17" s="972"/>
      <c r="H17" s="972"/>
      <c r="I17" s="972"/>
      <c r="J17" s="972"/>
      <c r="K17" s="972"/>
      <c r="L17" s="972"/>
      <c r="M17" s="972"/>
      <c r="N17" s="973"/>
      <c r="O17" s="58"/>
      <c r="P17" s="1"/>
      <c r="Q17" s="1"/>
      <c r="R17" s="1"/>
      <c r="S17" s="1"/>
      <c r="T17" s="1"/>
    </row>
    <row r="18" spans="2:20" ht="18" customHeight="1">
      <c r="B18" s="57"/>
      <c r="C18" s="65"/>
      <c r="D18" s="702"/>
      <c r="E18" s="46" t="s">
        <v>447</v>
      </c>
      <c r="F18" s="164" t="s">
        <v>448</v>
      </c>
      <c r="G18" s="3" t="s">
        <v>401</v>
      </c>
      <c r="H18" s="3" t="s">
        <v>407</v>
      </c>
      <c r="I18" s="128" t="s">
        <v>402</v>
      </c>
      <c r="J18" s="128" t="s">
        <v>403</v>
      </c>
      <c r="K18" s="3" t="s">
        <v>406</v>
      </c>
      <c r="L18" s="129" t="s">
        <v>416</v>
      </c>
      <c r="M18" s="129" t="s">
        <v>449</v>
      </c>
      <c r="N18" s="129" t="s">
        <v>450</v>
      </c>
      <c r="O18" s="72"/>
      <c r="P18" s="1"/>
      <c r="Q18" s="1"/>
      <c r="R18" s="1"/>
      <c r="S18" s="1"/>
      <c r="T18" s="1"/>
    </row>
    <row r="19" spans="2:20" ht="81" customHeight="1">
      <c r="B19" s="67"/>
      <c r="C19" s="135"/>
      <c r="D19" s="703"/>
      <c r="E19" s="699" t="s">
        <v>428</v>
      </c>
      <c r="F19" s="165" t="s">
        <v>722</v>
      </c>
      <c r="G19" s="5" t="s">
        <v>723</v>
      </c>
      <c r="H19" s="5" t="s">
        <v>725</v>
      </c>
      <c r="I19" s="5" t="s">
        <v>724</v>
      </c>
      <c r="J19" s="5" t="s">
        <v>742</v>
      </c>
      <c r="K19" s="165" t="s">
        <v>743</v>
      </c>
      <c r="L19" s="8" t="s">
        <v>726</v>
      </c>
      <c r="M19" s="701" t="s">
        <v>101</v>
      </c>
      <c r="N19" s="701" t="s">
        <v>103</v>
      </c>
      <c r="O19" s="73"/>
      <c r="P19" s="1"/>
      <c r="Q19" s="1"/>
      <c r="R19" s="1"/>
      <c r="S19" s="1"/>
      <c r="T19" s="1"/>
    </row>
    <row r="20" spans="2:20" ht="44.25" customHeight="1">
      <c r="B20" s="57"/>
      <c r="C20" s="65"/>
      <c r="D20" s="702"/>
      <c r="E20" s="700"/>
      <c r="F20" s="166"/>
      <c r="G20" s="6"/>
      <c r="H20" s="6"/>
      <c r="I20" s="8"/>
      <c r="J20" s="8"/>
      <c r="K20" s="8" t="s">
        <v>745</v>
      </c>
      <c r="L20" s="136" t="s">
        <v>744</v>
      </c>
      <c r="M20" s="136" t="s">
        <v>102</v>
      </c>
      <c r="N20" s="136" t="s">
        <v>104</v>
      </c>
      <c r="O20" s="73"/>
      <c r="P20" s="1"/>
      <c r="Q20" s="1"/>
      <c r="R20" s="1"/>
      <c r="S20" s="1"/>
      <c r="T20" s="1"/>
    </row>
    <row r="21" spans="2:20" ht="18" customHeight="1">
      <c r="B21" s="57"/>
      <c r="C21" s="65" t="s">
        <v>679</v>
      </c>
      <c r="D21" s="153" t="s">
        <v>680</v>
      </c>
      <c r="E21" s="705">
        <v>0.5</v>
      </c>
      <c r="F21" s="69">
        <v>820000</v>
      </c>
      <c r="G21" s="69">
        <v>0.75</v>
      </c>
      <c r="H21" s="69">
        <v>0.9</v>
      </c>
      <c r="I21" s="192">
        <v>0.47</v>
      </c>
      <c r="J21" s="192">
        <v>0.1</v>
      </c>
      <c r="K21" s="84">
        <f>((F21/G21)*(1-G21)*I21*(1-J21))+(F21*I21*(1-H21))</f>
        <v>154160</v>
      </c>
      <c r="L21" s="197">
        <f>K21*0.72/1000</f>
        <v>110.9952</v>
      </c>
      <c r="M21" s="192">
        <f>E21*L21</f>
        <v>55.4976</v>
      </c>
      <c r="N21" s="192">
        <f>(1-E21)*L21</f>
        <v>55.4976</v>
      </c>
      <c r="O21" s="70"/>
      <c r="P21" s="1"/>
      <c r="Q21" s="1"/>
      <c r="R21" s="1"/>
      <c r="S21" s="1"/>
      <c r="T21" s="1"/>
    </row>
    <row r="22" spans="2:20" ht="18" customHeight="1">
      <c r="B22" s="82"/>
      <c r="C22" s="41" t="s">
        <v>678</v>
      </c>
      <c r="D22" s="154" t="s">
        <v>677</v>
      </c>
      <c r="E22" s="704"/>
      <c r="F22" s="12"/>
      <c r="G22" s="11"/>
      <c r="H22" s="36"/>
      <c r="I22" s="138"/>
      <c r="J22" s="138"/>
      <c r="K22" s="36"/>
      <c r="L22" s="12"/>
      <c r="M22" s="138"/>
      <c r="N22" s="12"/>
      <c r="O22" s="74"/>
      <c r="P22" s="1"/>
      <c r="Q22" s="1"/>
      <c r="R22" s="1"/>
      <c r="S22" s="1"/>
      <c r="T22" s="1"/>
    </row>
    <row r="23" spans="2:20" ht="18" customHeight="1">
      <c r="B23" s="57"/>
      <c r="C23" s="748"/>
      <c r="D23" s="749"/>
      <c r="E23" s="723"/>
      <c r="F23" s="721"/>
      <c r="G23" s="720"/>
      <c r="H23" s="720"/>
      <c r="I23" s="720"/>
      <c r="J23" s="720"/>
      <c r="K23" s="139">
        <f>IF(G23=0,0,((F23/G23)*(1-G23)*I23*(1-J23))+(F23*I23*(1-H23)))</f>
        <v>0</v>
      </c>
      <c r="L23" s="198">
        <f>K23*0.72/1000</f>
        <v>0</v>
      </c>
      <c r="M23" s="134">
        <f>E23*L23</f>
        <v>0</v>
      </c>
      <c r="N23" s="134">
        <f>(1-E23)*L23</f>
        <v>0</v>
      </c>
      <c r="O23" s="75"/>
      <c r="P23" s="1"/>
      <c r="Q23" s="1"/>
      <c r="R23" s="1"/>
      <c r="S23" s="1"/>
      <c r="T23" s="1"/>
    </row>
    <row r="24" spans="2:20" ht="18" customHeight="1">
      <c r="B24" s="57"/>
      <c r="C24" s="748"/>
      <c r="D24" s="749"/>
      <c r="E24" s="723"/>
      <c r="F24" s="721"/>
      <c r="G24" s="720"/>
      <c r="H24" s="720"/>
      <c r="I24" s="720"/>
      <c r="J24" s="720"/>
      <c r="K24" s="139">
        <f>IF(G24=0,0,((F24/G24)*(1-G24)*I24*(1-J24))+(F24*I24*(1-H24)))</f>
        <v>0</v>
      </c>
      <c r="L24" s="198">
        <f>K24*0.72/1000</f>
        <v>0</v>
      </c>
      <c r="M24" s="134">
        <f>E24*L24</f>
        <v>0</v>
      </c>
      <c r="N24" s="134">
        <f>(1-E24)*L24</f>
        <v>0</v>
      </c>
      <c r="O24" s="75"/>
      <c r="P24" s="1"/>
      <c r="Q24" s="1"/>
      <c r="R24" s="1"/>
      <c r="S24" s="1"/>
      <c r="T24" s="1"/>
    </row>
    <row r="25" spans="2:22" ht="18" customHeight="1">
      <c r="B25" s="57"/>
      <c r="C25" s="748"/>
      <c r="D25" s="749"/>
      <c r="E25" s="723"/>
      <c r="F25" s="721"/>
      <c r="G25" s="720"/>
      <c r="H25" s="720"/>
      <c r="I25" s="720"/>
      <c r="J25" s="720"/>
      <c r="K25" s="139">
        <f>IF(G25=0,0,((F25/G25)*(1-G25)*I25*(1-J25))+(F25*I25*(1-H25)))</f>
        <v>0</v>
      </c>
      <c r="L25" s="198">
        <f>K25*0.72/1000</f>
        <v>0</v>
      </c>
      <c r="M25" s="134">
        <f>E25*L25</f>
        <v>0</v>
      </c>
      <c r="N25" s="134">
        <f>(1-E25)*L25</f>
        <v>0</v>
      </c>
      <c r="O25" s="75"/>
      <c r="P25" s="1"/>
      <c r="Q25" s="1"/>
      <c r="R25" s="1"/>
      <c r="S25" s="1"/>
      <c r="T25" s="1"/>
      <c r="U25" s="1"/>
      <c r="V25" s="1"/>
    </row>
    <row r="26" spans="2:22" ht="18" customHeight="1">
      <c r="B26" s="57"/>
      <c r="C26" s="748"/>
      <c r="D26" s="751"/>
      <c r="E26" s="724"/>
      <c r="F26" s="721"/>
      <c r="G26" s="720"/>
      <c r="H26" s="720"/>
      <c r="I26" s="720"/>
      <c r="J26" s="720"/>
      <c r="K26" s="139">
        <f>IF(G26=0,0,((F26/G26)*(1-G26)*I26*(1-J26))+(F26*I26*(1-H26)))</f>
        <v>0</v>
      </c>
      <c r="L26" s="198">
        <f>K26*0.72/1000</f>
        <v>0</v>
      </c>
      <c r="M26" s="134">
        <f>E26*L26</f>
        <v>0</v>
      </c>
      <c r="N26" s="134">
        <f>(1-E26)*L26</f>
        <v>0</v>
      </c>
      <c r="O26" s="75"/>
      <c r="P26" s="1"/>
      <c r="Q26" s="1"/>
      <c r="R26" s="1"/>
      <c r="S26" s="1"/>
      <c r="T26" s="1"/>
      <c r="U26" s="1"/>
      <c r="V26" s="1"/>
    </row>
    <row r="27" spans="2:15" ht="18" customHeight="1">
      <c r="B27" s="57"/>
      <c r="C27" s="748"/>
      <c r="D27" s="749"/>
      <c r="E27" s="723"/>
      <c r="F27" s="721"/>
      <c r="G27" s="720"/>
      <c r="H27" s="720"/>
      <c r="I27" s="720"/>
      <c r="J27" s="720"/>
      <c r="K27" s="139">
        <f>IF(G27=0,0,((F27/G27)*(1-G27)*I27*(1-J27))+(F27*I27*(1-H27)))</f>
        <v>0</v>
      </c>
      <c r="L27" s="198">
        <f>K27*0.72/1000</f>
        <v>0</v>
      </c>
      <c r="M27" s="134">
        <f>E27*L27</f>
        <v>0</v>
      </c>
      <c r="N27" s="134">
        <f>(1-E27)*L27</f>
        <v>0</v>
      </c>
      <c r="O27" s="75"/>
    </row>
    <row r="28" spans="2:15" ht="18" customHeight="1">
      <c r="B28" s="78"/>
      <c r="C28" s="79"/>
      <c r="D28" s="155"/>
      <c r="E28" s="155"/>
      <c r="F28" s="155"/>
      <c r="G28" s="155"/>
      <c r="H28" s="155"/>
      <c r="I28" s="79"/>
      <c r="J28" s="79"/>
      <c r="K28" s="140"/>
      <c r="L28" s="140"/>
      <c r="M28" s="140"/>
      <c r="N28" s="140"/>
      <c r="O28" s="76"/>
    </row>
    <row r="29" spans="2:15" ht="18" customHeight="1" thickBot="1">
      <c r="B29" s="193"/>
      <c r="C29" s="194"/>
      <c r="D29" s="195"/>
      <c r="E29" s="195"/>
      <c r="F29" s="195"/>
      <c r="G29" s="195"/>
      <c r="H29" s="195"/>
      <c r="I29" s="979" t="s">
        <v>363</v>
      </c>
      <c r="J29" s="980"/>
      <c r="K29" s="980"/>
      <c r="L29" s="981"/>
      <c r="M29" s="190">
        <f>SUM(M23:M27)</f>
        <v>0</v>
      </c>
      <c r="N29" s="190">
        <f>SUM(N23:N27)</f>
        <v>0</v>
      </c>
      <c r="O29" s="196" t="s">
        <v>76</v>
      </c>
    </row>
    <row r="30" spans="2:19" ht="20.25" customHeight="1" thickTop="1">
      <c r="B30" s="54"/>
      <c r="C30" s="217" t="s">
        <v>740</v>
      </c>
      <c r="D30" s="150"/>
      <c r="E30" s="150"/>
      <c r="F30" s="150"/>
      <c r="G30" s="55"/>
      <c r="H30" s="55"/>
      <c r="I30" s="55"/>
      <c r="J30" s="55"/>
      <c r="K30" s="55"/>
      <c r="L30" s="55"/>
      <c r="M30" s="55"/>
      <c r="N30" s="65"/>
      <c r="O30" s="55"/>
      <c r="P30" s="55"/>
      <c r="Q30" s="55"/>
      <c r="R30" s="55"/>
      <c r="S30" s="56"/>
    </row>
    <row r="31" spans="2:19" ht="40.5" customHeight="1">
      <c r="B31" s="57"/>
      <c r="C31" s="899" t="s">
        <v>389</v>
      </c>
      <c r="D31" s="920"/>
      <c r="E31" s="920"/>
      <c r="F31" s="920"/>
      <c r="G31" s="920"/>
      <c r="H31" s="920"/>
      <c r="I31" s="920"/>
      <c r="J31" s="920"/>
      <c r="K31" s="920"/>
      <c r="L31" s="920"/>
      <c r="M31" s="65"/>
      <c r="N31" s="65"/>
      <c r="O31" s="65"/>
      <c r="P31" s="65"/>
      <c r="Q31" s="65"/>
      <c r="R31" s="224"/>
      <c r="S31" s="58"/>
    </row>
    <row r="32" spans="2:19" ht="18" customHeight="1">
      <c r="B32" s="57"/>
      <c r="C32" s="99"/>
      <c r="D32" s="191"/>
      <c r="E32" s="191"/>
      <c r="F32" s="191"/>
      <c r="G32" s="191"/>
      <c r="H32" s="65"/>
      <c r="I32" s="65"/>
      <c r="J32" s="65"/>
      <c r="K32" s="65"/>
      <c r="L32" s="65"/>
      <c r="M32" s="65"/>
      <c r="N32" s="65"/>
      <c r="O32" s="65"/>
      <c r="P32" s="65"/>
      <c r="Q32" s="65"/>
      <c r="R32" s="65"/>
      <c r="S32" s="58"/>
    </row>
    <row r="33" spans="2:19" ht="18" customHeight="1">
      <c r="B33" s="57"/>
      <c r="C33" s="99"/>
      <c r="D33" s="191"/>
      <c r="E33" s="990" t="s">
        <v>507</v>
      </c>
      <c r="F33" s="972"/>
      <c r="G33" s="972"/>
      <c r="H33" s="972"/>
      <c r="I33" s="972"/>
      <c r="J33" s="972"/>
      <c r="K33" s="973"/>
      <c r="L33" s="974" t="s">
        <v>522</v>
      </c>
      <c r="M33" s="975"/>
      <c r="N33" s="975"/>
      <c r="O33" s="976"/>
      <c r="P33" s="263"/>
      <c r="Q33" s="263"/>
      <c r="R33" s="263"/>
      <c r="S33" s="58"/>
    </row>
    <row r="34" spans="2:19" ht="18" customHeight="1">
      <c r="B34" s="57"/>
      <c r="C34" s="65"/>
      <c r="D34" s="151"/>
      <c r="E34" s="46" t="s">
        <v>447</v>
      </c>
      <c r="F34" s="164" t="s">
        <v>448</v>
      </c>
      <c r="G34" s="3" t="s">
        <v>401</v>
      </c>
      <c r="H34" s="3" t="s">
        <v>407</v>
      </c>
      <c r="I34" s="3" t="s">
        <v>402</v>
      </c>
      <c r="J34" s="3" t="s">
        <v>403</v>
      </c>
      <c r="K34" s="3" t="s">
        <v>406</v>
      </c>
      <c r="L34" s="3" t="s">
        <v>416</v>
      </c>
      <c r="M34" s="129" t="s">
        <v>741</v>
      </c>
      <c r="N34" s="259" t="s">
        <v>754</v>
      </c>
      <c r="O34" s="129" t="s">
        <v>755</v>
      </c>
      <c r="P34" s="129" t="s">
        <v>793</v>
      </c>
      <c r="Q34" s="129" t="s">
        <v>736</v>
      </c>
      <c r="R34" s="129" t="s">
        <v>735</v>
      </c>
      <c r="S34" s="72"/>
    </row>
    <row r="35" spans="2:19" ht="111" customHeight="1">
      <c r="B35" s="67"/>
      <c r="C35" s="135"/>
      <c r="D35" s="152"/>
      <c r="E35" s="699" t="s">
        <v>428</v>
      </c>
      <c r="F35" s="165" t="s">
        <v>752</v>
      </c>
      <c r="G35" s="5" t="s">
        <v>753</v>
      </c>
      <c r="H35" s="5" t="s">
        <v>746</v>
      </c>
      <c r="I35" s="5" t="s">
        <v>748</v>
      </c>
      <c r="J35" s="5" t="s">
        <v>749</v>
      </c>
      <c r="K35" s="165" t="s">
        <v>747</v>
      </c>
      <c r="L35" s="5" t="s">
        <v>742</v>
      </c>
      <c r="M35" s="5" t="s">
        <v>792</v>
      </c>
      <c r="N35" s="40" t="s">
        <v>797</v>
      </c>
      <c r="O35" s="8" t="s">
        <v>751</v>
      </c>
      <c r="P35" s="8" t="s">
        <v>726</v>
      </c>
      <c r="Q35" s="701" t="s">
        <v>101</v>
      </c>
      <c r="R35" s="701" t="s">
        <v>103</v>
      </c>
      <c r="S35" s="73"/>
    </row>
    <row r="36" spans="2:29" ht="46.5" customHeight="1">
      <c r="B36" s="57"/>
      <c r="C36" s="65"/>
      <c r="D36" s="151"/>
      <c r="E36" s="700"/>
      <c r="F36" s="187"/>
      <c r="G36" s="8"/>
      <c r="H36" s="8"/>
      <c r="I36" s="8"/>
      <c r="J36" s="8"/>
      <c r="K36" s="8" t="s">
        <v>750</v>
      </c>
      <c r="L36" s="8"/>
      <c r="M36" s="8"/>
      <c r="N36" s="258"/>
      <c r="O36" s="260" t="s">
        <v>795</v>
      </c>
      <c r="P36" s="136" t="s">
        <v>796</v>
      </c>
      <c r="Q36" s="136" t="s">
        <v>105</v>
      </c>
      <c r="R36" s="136" t="s">
        <v>106</v>
      </c>
      <c r="S36" s="73"/>
      <c r="T36"/>
      <c r="U36"/>
      <c r="V36"/>
      <c r="W36"/>
      <c r="X36"/>
      <c r="Y36"/>
      <c r="Z36"/>
      <c r="AA36"/>
      <c r="AB36"/>
      <c r="AC36"/>
    </row>
    <row r="37" spans="2:29" ht="20.25" customHeight="1">
      <c r="B37" s="57"/>
      <c r="C37" s="65" t="s">
        <v>679</v>
      </c>
      <c r="D37" s="153" t="s">
        <v>680</v>
      </c>
      <c r="E37" s="705">
        <v>0.7</v>
      </c>
      <c r="F37" s="69">
        <v>17500</v>
      </c>
      <c r="G37" s="69">
        <v>100</v>
      </c>
      <c r="H37" s="69">
        <v>0.03</v>
      </c>
      <c r="I37" s="69">
        <v>20</v>
      </c>
      <c r="J37" s="69">
        <v>0</v>
      </c>
      <c r="K37" s="137">
        <f>F37*G37*(EXP(-H37*J37)-EXP(-H37*I37))</f>
        <v>789579.6368354538</v>
      </c>
      <c r="L37" s="192">
        <v>0.1</v>
      </c>
      <c r="M37" s="192">
        <v>0</v>
      </c>
      <c r="N37" s="192">
        <v>0</v>
      </c>
      <c r="O37" s="189">
        <f>(K37*(1-M37)*(1-L37))+(K37*M37*(1-N37))</f>
        <v>710621.6731519084</v>
      </c>
      <c r="P37" s="189">
        <f>O37*0.72/1000</f>
        <v>511.64760466937406</v>
      </c>
      <c r="Q37" s="137">
        <f>E37*P37</f>
        <v>358.15332326856185</v>
      </c>
      <c r="R37" s="137">
        <f>(1-E37)*P37</f>
        <v>153.49428140081224</v>
      </c>
      <c r="S37" s="70"/>
      <c r="T37"/>
      <c r="U37"/>
      <c r="V37"/>
      <c r="W37"/>
      <c r="X37"/>
      <c r="Y37"/>
      <c r="Z37"/>
      <c r="AA37"/>
      <c r="AB37"/>
      <c r="AC37"/>
    </row>
    <row r="38" spans="2:29" ht="19.5" customHeight="1">
      <c r="B38" s="82"/>
      <c r="C38" s="41" t="s">
        <v>678</v>
      </c>
      <c r="D38" s="154" t="s">
        <v>677</v>
      </c>
      <c r="E38" s="704"/>
      <c r="F38" s="12"/>
      <c r="G38" s="11"/>
      <c r="H38" s="36"/>
      <c r="I38" s="36"/>
      <c r="J38" s="36"/>
      <c r="K38" s="36"/>
      <c r="L38" s="138"/>
      <c r="M38" s="138"/>
      <c r="N38" s="138"/>
      <c r="O38" s="12"/>
      <c r="P38" s="12"/>
      <c r="Q38" s="138"/>
      <c r="R38" s="12"/>
      <c r="S38" s="74"/>
      <c r="T38"/>
      <c r="U38"/>
      <c r="V38"/>
      <c r="W38"/>
      <c r="X38"/>
      <c r="Y38"/>
      <c r="Z38"/>
      <c r="AA38"/>
      <c r="AB38"/>
      <c r="AC38"/>
    </row>
    <row r="39" spans="2:29" ht="18.75" customHeight="1">
      <c r="B39" s="57"/>
      <c r="C39" s="748"/>
      <c r="D39" s="749"/>
      <c r="E39" s="723"/>
      <c r="F39" s="721"/>
      <c r="G39" s="720"/>
      <c r="H39" s="720"/>
      <c r="I39" s="720"/>
      <c r="J39" s="720"/>
      <c r="K39" s="139">
        <f>F39*G39*(EXP(-H39*J39)-EXP(-H39*I39))</f>
        <v>0</v>
      </c>
      <c r="L39" s="720"/>
      <c r="M39" s="720"/>
      <c r="N39" s="720"/>
      <c r="O39" s="267">
        <f>(K39*(1-M39)*(1-L39))+(K39*M39*(1-N39))</f>
        <v>0</v>
      </c>
      <c r="P39" s="139">
        <f>O39*0.72/1000</f>
        <v>0</v>
      </c>
      <c r="Q39" s="134">
        <f>E39*P39</f>
        <v>0</v>
      </c>
      <c r="R39" s="134">
        <f>(1-E39)*P39</f>
        <v>0</v>
      </c>
      <c r="S39" s="74"/>
      <c r="T39"/>
      <c r="U39"/>
      <c r="V39"/>
      <c r="W39"/>
      <c r="X39"/>
      <c r="Y39"/>
      <c r="Z39"/>
      <c r="AA39"/>
      <c r="AB39"/>
      <c r="AC39"/>
    </row>
    <row r="40" spans="2:29" ht="18" customHeight="1">
      <c r="B40" s="57"/>
      <c r="C40" s="748"/>
      <c r="D40" s="749"/>
      <c r="E40" s="723"/>
      <c r="F40" s="721"/>
      <c r="G40" s="720"/>
      <c r="H40" s="720"/>
      <c r="I40" s="720"/>
      <c r="J40" s="720"/>
      <c r="K40" s="139">
        <f>F40*G40*(EXP(-H40*J40)-EXP(-H40*I40))</f>
        <v>0</v>
      </c>
      <c r="L40" s="720"/>
      <c r="M40" s="720"/>
      <c r="N40" s="720"/>
      <c r="O40" s="267">
        <f>(K40*(1-M40)*(1-L40))+(K40*M40*(1-N40))</f>
        <v>0</v>
      </c>
      <c r="P40" s="139">
        <f>O40*0.72/1000</f>
        <v>0</v>
      </c>
      <c r="Q40" s="134">
        <f>E40*P40</f>
        <v>0</v>
      </c>
      <c r="R40" s="134">
        <f>(1-E40)*P40</f>
        <v>0</v>
      </c>
      <c r="S40" s="74"/>
      <c r="T40"/>
      <c r="U40"/>
      <c r="V40"/>
      <c r="W40"/>
      <c r="X40"/>
      <c r="Y40"/>
      <c r="Z40"/>
      <c r="AA40"/>
      <c r="AB40"/>
      <c r="AC40"/>
    </row>
    <row r="41" spans="2:29" ht="20.25" customHeight="1">
      <c r="B41" s="57"/>
      <c r="C41" s="748"/>
      <c r="D41" s="749"/>
      <c r="E41" s="723"/>
      <c r="F41" s="721"/>
      <c r="G41" s="720"/>
      <c r="H41" s="720"/>
      <c r="I41" s="720"/>
      <c r="J41" s="720"/>
      <c r="K41" s="139">
        <f>F41*G41*(EXP(-H41*J41)-EXP(-H41*I41))</f>
        <v>0</v>
      </c>
      <c r="L41" s="720"/>
      <c r="M41" s="720"/>
      <c r="N41" s="720"/>
      <c r="O41" s="267">
        <f>(K41*(1-M41)*(1-L41))+(K41*M41*(1-N41))</f>
        <v>0</v>
      </c>
      <c r="P41" s="139">
        <f>O41*0.72/1000</f>
        <v>0</v>
      </c>
      <c r="Q41" s="134">
        <f>E41*P41</f>
        <v>0</v>
      </c>
      <c r="R41" s="134">
        <f>(1-E41)*P41</f>
        <v>0</v>
      </c>
      <c r="S41" s="74"/>
      <c r="T41"/>
      <c r="U41"/>
      <c r="V41"/>
      <c r="W41"/>
      <c r="X41"/>
      <c r="Y41"/>
      <c r="Z41"/>
      <c r="AA41"/>
      <c r="AB41"/>
      <c r="AC41"/>
    </row>
    <row r="42" spans="2:29" ht="21" customHeight="1">
      <c r="B42" s="57"/>
      <c r="C42" s="748"/>
      <c r="D42" s="751"/>
      <c r="E42" s="724"/>
      <c r="F42" s="721"/>
      <c r="G42" s="720"/>
      <c r="H42" s="720"/>
      <c r="I42" s="720"/>
      <c r="J42" s="720"/>
      <c r="K42" s="139">
        <f>F42*G42*(EXP(-H42*J42)-EXP(-H42*I42))</f>
        <v>0</v>
      </c>
      <c r="L42" s="720"/>
      <c r="M42" s="720"/>
      <c r="N42" s="720"/>
      <c r="O42" s="267">
        <f>(K42*(1-M42)*(1-L42))+(K42*M42*(1-N42))</f>
        <v>0</v>
      </c>
      <c r="P42" s="139">
        <f>O42*0.72/1000</f>
        <v>0</v>
      </c>
      <c r="Q42" s="134">
        <f>E42*P42</f>
        <v>0</v>
      </c>
      <c r="R42" s="134">
        <f>(1-E42)*P42</f>
        <v>0</v>
      </c>
      <c r="S42" s="74"/>
      <c r="T42"/>
      <c r="U42"/>
      <c r="V42"/>
      <c r="W42"/>
      <c r="X42"/>
      <c r="Y42"/>
      <c r="Z42"/>
      <c r="AA42"/>
      <c r="AB42"/>
      <c r="AC42"/>
    </row>
    <row r="43" spans="2:29" ht="20.25" customHeight="1">
      <c r="B43" s="57"/>
      <c r="C43" s="748"/>
      <c r="D43" s="749"/>
      <c r="E43" s="723"/>
      <c r="F43" s="721"/>
      <c r="G43" s="720"/>
      <c r="H43" s="720"/>
      <c r="I43" s="720"/>
      <c r="J43" s="720"/>
      <c r="K43" s="139">
        <f>F43*G43*(EXP(-H43*J43)-EXP(-H43*I43))</f>
        <v>0</v>
      </c>
      <c r="L43" s="720"/>
      <c r="M43" s="720"/>
      <c r="N43" s="720"/>
      <c r="O43" s="267">
        <f>(K43*(1-M43)*(1-L43))+(K43*M43*(1-N43))</f>
        <v>0</v>
      </c>
      <c r="P43" s="139">
        <f>O43*0.72/1000</f>
        <v>0</v>
      </c>
      <c r="Q43" s="134">
        <f>E43*P43</f>
        <v>0</v>
      </c>
      <c r="R43" s="134">
        <f>(1-E43)*P43</f>
        <v>0</v>
      </c>
      <c r="S43" s="74"/>
      <c r="T43"/>
      <c r="U43"/>
      <c r="V43"/>
      <c r="W43"/>
      <c r="X43"/>
      <c r="Y43"/>
      <c r="Z43"/>
      <c r="AA43"/>
      <c r="AB43"/>
      <c r="AC43"/>
    </row>
    <row r="44" spans="2:27" ht="18" customHeight="1">
      <c r="B44" s="78"/>
      <c r="C44" s="79"/>
      <c r="D44" s="155"/>
      <c r="E44" s="155"/>
      <c r="F44" s="155"/>
      <c r="G44" s="155"/>
      <c r="H44" s="79"/>
      <c r="I44" s="79"/>
      <c r="J44" s="140"/>
      <c r="K44" s="140"/>
      <c r="L44" s="140"/>
      <c r="M44" s="140"/>
      <c r="N44" s="140"/>
      <c r="O44" s="140"/>
      <c r="P44" s="140"/>
      <c r="Q44" s="717" t="s">
        <v>275</v>
      </c>
      <c r="R44" s="717" t="s">
        <v>276</v>
      </c>
      <c r="S44" s="75"/>
      <c r="T44"/>
      <c r="U44"/>
      <c r="V44"/>
      <c r="W44"/>
      <c r="X44"/>
      <c r="Y44"/>
      <c r="Z44"/>
      <c r="AA44"/>
    </row>
    <row r="45" spans="2:28" ht="18" customHeight="1" thickBot="1">
      <c r="B45" s="193"/>
      <c r="C45" s="194"/>
      <c r="D45" s="195"/>
      <c r="E45" s="195"/>
      <c r="F45" s="199"/>
      <c r="G45" s="199"/>
      <c r="H45" s="199"/>
      <c r="I45" s="199"/>
      <c r="J45" s="199"/>
      <c r="K45" s="979" t="s">
        <v>362</v>
      </c>
      <c r="L45" s="980"/>
      <c r="M45" s="980"/>
      <c r="N45" s="981"/>
      <c r="O45" s="224"/>
      <c r="P45" s="224"/>
      <c r="Q45" s="190">
        <f>SUM(Q39:Q43)</f>
        <v>0</v>
      </c>
      <c r="R45" s="190">
        <f>SUM(R39:R43)</f>
        <v>0</v>
      </c>
      <c r="S45" s="264" t="s">
        <v>76</v>
      </c>
      <c r="T45" s="813"/>
      <c r="U45" s="31"/>
      <c r="V45"/>
      <c r="W45"/>
      <c r="X45"/>
      <c r="Y45"/>
      <c r="Z45"/>
      <c r="AA45"/>
      <c r="AB45"/>
    </row>
    <row r="46" spans="2:26" ht="18" customHeight="1" thickTop="1">
      <c r="B46" s="214"/>
      <c r="C46" s="55"/>
      <c r="D46" s="216"/>
      <c r="E46" s="216"/>
      <c r="F46" s="217"/>
      <c r="G46" s="217"/>
      <c r="H46" s="217"/>
      <c r="I46" s="217"/>
      <c r="J46" s="217"/>
      <c r="K46" s="217"/>
      <c r="L46" s="140"/>
      <c r="M46" s="140"/>
      <c r="N46" s="140"/>
      <c r="O46" s="217"/>
      <c r="P46" s="265"/>
      <c r="Q46" s="717" t="s">
        <v>275</v>
      </c>
      <c r="R46" s="717" t="s">
        <v>276</v>
      </c>
      <c r="S46" s="224"/>
      <c r="T46" s="621"/>
      <c r="U46"/>
      <c r="V46"/>
      <c r="W46"/>
      <c r="X46"/>
      <c r="Y46"/>
      <c r="Z46"/>
    </row>
    <row r="47" spans="2:27" ht="18" customHeight="1">
      <c r="B47" s="78"/>
      <c r="C47" s="140" t="s">
        <v>386</v>
      </c>
      <c r="D47" s="155"/>
      <c r="E47" s="155"/>
      <c r="F47" s="140"/>
      <c r="G47" s="140"/>
      <c r="H47" s="140"/>
      <c r="I47" s="140"/>
      <c r="J47" s="140"/>
      <c r="K47" s="996" t="s">
        <v>757</v>
      </c>
      <c r="L47" s="972"/>
      <c r="M47" s="972"/>
      <c r="N47" s="973"/>
      <c r="O47" s="593"/>
      <c r="P47" s="224"/>
      <c r="Q47" s="141">
        <f>IF(OR(G56="Invalid Year",ISERROR(G56)),+M29+Q45,+M29+Q45+G56)</f>
        <v>0</v>
      </c>
      <c r="R47" s="141">
        <f>IF(OR(G56="Invalid Year",ISERROR(G56)),+N29+R45,+N29+R45+G57)</f>
        <v>0</v>
      </c>
      <c r="S47" s="814" t="s">
        <v>76</v>
      </c>
      <c r="T47" s="621"/>
      <c r="U47"/>
      <c r="V47"/>
      <c r="W47"/>
      <c r="X47"/>
      <c r="Y47"/>
      <c r="Z47"/>
      <c r="AA47"/>
    </row>
    <row r="48" spans="2:20" ht="13.5" thickBot="1">
      <c r="B48" s="80"/>
      <c r="C48" s="81"/>
      <c r="D48" s="81"/>
      <c r="E48" s="81"/>
      <c r="F48" s="81"/>
      <c r="G48" s="81"/>
      <c r="H48" s="81"/>
      <c r="I48" s="81"/>
      <c r="J48" s="81"/>
      <c r="K48" s="81"/>
      <c r="L48" s="81"/>
      <c r="M48" s="81"/>
      <c r="N48" s="81"/>
      <c r="O48" s="81"/>
      <c r="P48" s="81"/>
      <c r="Q48" s="81"/>
      <c r="R48" s="81"/>
      <c r="S48" s="77"/>
      <c r="T48" s="621"/>
    </row>
    <row r="49" spans="2:17" ht="20.25" customHeight="1" thickTop="1">
      <c r="B49" s="54"/>
      <c r="C49" s="217" t="s">
        <v>367</v>
      </c>
      <c r="D49" s="150"/>
      <c r="E49" s="150"/>
      <c r="F49" s="150"/>
      <c r="G49" s="55"/>
      <c r="H49" s="55"/>
      <c r="I49" s="55"/>
      <c r="J49" s="55"/>
      <c r="K49" s="55"/>
      <c r="L49" s="55"/>
      <c r="M49" s="55"/>
      <c r="N49" s="55"/>
      <c r="O49" s="55"/>
      <c r="P49" s="55"/>
      <c r="Q49" s="56"/>
    </row>
    <row r="50" spans="2:17" ht="115.5" customHeight="1">
      <c r="B50" s="57"/>
      <c r="C50" s="899" t="s">
        <v>230</v>
      </c>
      <c r="D50" s="920"/>
      <c r="E50" s="920"/>
      <c r="F50" s="920"/>
      <c r="G50" s="920"/>
      <c r="H50" s="920"/>
      <c r="I50" s="920"/>
      <c r="J50" s="920"/>
      <c r="K50" s="920"/>
      <c r="L50" s="920"/>
      <c r="M50" s="65"/>
      <c r="N50" s="65"/>
      <c r="O50" s="65"/>
      <c r="P50" s="65"/>
      <c r="Q50" s="58"/>
    </row>
    <row r="51" spans="2:17" ht="69" customHeight="1">
      <c r="B51" s="57"/>
      <c r="C51" s="41" t="s">
        <v>678</v>
      </c>
      <c r="D51" s="154" t="s">
        <v>677</v>
      </c>
      <c r="E51" s="708" t="s">
        <v>428</v>
      </c>
      <c r="F51" s="622"/>
      <c r="G51" s="622"/>
      <c r="H51" s="303"/>
      <c r="I51" s="303"/>
      <c r="J51" s="303"/>
      <c r="K51" s="303"/>
      <c r="L51" s="303"/>
      <c r="M51" s="65"/>
      <c r="N51" s="65"/>
      <c r="O51" s="65"/>
      <c r="P51" s="65"/>
      <c r="Q51" s="58"/>
    </row>
    <row r="52" spans="2:17" ht="21.75" customHeight="1">
      <c r="B52" s="57"/>
      <c r="C52" s="748"/>
      <c r="D52" s="749"/>
      <c r="E52" s="725"/>
      <c r="F52" s="622"/>
      <c r="G52" s="622"/>
      <c r="H52" s="303"/>
      <c r="I52" s="303"/>
      <c r="J52" s="303"/>
      <c r="K52" s="303"/>
      <c r="L52" s="303"/>
      <c r="M52" s="65"/>
      <c r="N52" s="65"/>
      <c r="O52" s="65"/>
      <c r="P52" s="65"/>
      <c r="Q52" s="58"/>
    </row>
    <row r="53" spans="2:17" ht="21.75" customHeight="1">
      <c r="B53" s="57"/>
      <c r="C53" s="620" t="s">
        <v>573</v>
      </c>
      <c r="D53" s="303"/>
      <c r="E53" s="303"/>
      <c r="F53" s="303"/>
      <c r="G53" s="726"/>
      <c r="H53" s="303"/>
      <c r="I53" s="303"/>
      <c r="J53" s="303"/>
      <c r="K53" s="303"/>
      <c r="L53" s="303"/>
      <c r="M53" s="65"/>
      <c r="N53" s="65"/>
      <c r="O53" s="65"/>
      <c r="P53" s="65"/>
      <c r="Q53" s="58"/>
    </row>
    <row r="54" spans="2:17" ht="21.75" customHeight="1">
      <c r="B54" s="57"/>
      <c r="C54" s="620" t="s">
        <v>572</v>
      </c>
      <c r="D54" s="303"/>
      <c r="E54" s="303"/>
      <c r="F54" s="303"/>
      <c r="G54" s="726"/>
      <c r="H54" s="303"/>
      <c r="I54" s="303"/>
      <c r="J54" s="303"/>
      <c r="K54" s="303"/>
      <c r="L54" s="303"/>
      <c r="M54" s="65"/>
      <c r="N54" s="65"/>
      <c r="O54" s="65"/>
      <c r="P54" s="65"/>
      <c r="Q54" s="58"/>
    </row>
    <row r="55" spans="2:17" ht="21.75" customHeight="1">
      <c r="B55" s="57"/>
      <c r="C55" s="224"/>
      <c r="D55" s="618" t="s">
        <v>577</v>
      </c>
      <c r="E55" s="622"/>
      <c r="F55" s="622"/>
      <c r="G55" s="726"/>
      <c r="H55" s="303"/>
      <c r="I55" s="303"/>
      <c r="J55" s="303"/>
      <c r="K55" s="303"/>
      <c r="L55" s="303"/>
      <c r="M55" s="65"/>
      <c r="N55" s="65"/>
      <c r="O55" s="65"/>
      <c r="P55" s="65"/>
      <c r="Q55" s="58"/>
    </row>
    <row r="56" spans="2:58" ht="18" customHeight="1">
      <c r="B56" s="57"/>
      <c r="C56" s="224"/>
      <c r="D56" s="977" t="s">
        <v>108</v>
      </c>
      <c r="E56" s="978"/>
      <c r="F56" s="978"/>
      <c r="G56" s="625">
        <f>IF(G55&gt;=G53,IF(ISERROR(LOOKUP(G55,H58:BE58,H60:BE60)),0,E52*LOOKUP(G55,H58:BE58,H60:BE60)),"Invalid Year")</f>
        <v>0</v>
      </c>
      <c r="H56" s="65" t="s">
        <v>76</v>
      </c>
      <c r="I56" s="65"/>
      <c r="J56" s="65"/>
      <c r="K56" s="65"/>
      <c r="L56" s="65"/>
      <c r="M56" s="65"/>
      <c r="N56" s="65"/>
      <c r="O56" s="65"/>
      <c r="P56" s="65"/>
      <c r="Q56" s="65"/>
      <c r="R56" s="710"/>
      <c r="S56" s="709"/>
      <c r="T56" s="709"/>
      <c r="U56" s="709"/>
      <c r="V56" s="709"/>
      <c r="W56" s="709"/>
      <c r="X56" s="709"/>
      <c r="Y56" s="709"/>
      <c r="Z56" s="709"/>
      <c r="AA56" s="709"/>
      <c r="AB56" s="709"/>
      <c r="AC56" s="709"/>
      <c r="AD56" s="709"/>
      <c r="AE56" s="709"/>
      <c r="AF56" s="709"/>
      <c r="AG56" s="709"/>
      <c r="AH56" s="709"/>
      <c r="AI56" s="709"/>
      <c r="AJ56" s="709"/>
      <c r="AK56" s="709"/>
      <c r="AL56" s="709"/>
      <c r="AM56" s="709"/>
      <c r="AN56" s="709"/>
      <c r="AO56" s="709"/>
      <c r="AP56" s="709"/>
      <c r="AQ56" s="709"/>
      <c r="AR56" s="709"/>
      <c r="AS56" s="709"/>
      <c r="AT56" s="709"/>
      <c r="AU56" s="709"/>
      <c r="AV56" s="709"/>
      <c r="AW56" s="709"/>
      <c r="AX56" s="709"/>
      <c r="AY56" s="709"/>
      <c r="AZ56" s="709"/>
      <c r="BA56" s="709"/>
      <c r="BB56" s="709"/>
      <c r="BC56" s="709"/>
      <c r="BD56" s="709"/>
      <c r="BE56" s="709"/>
      <c r="BF56" s="709"/>
    </row>
    <row r="57" spans="2:17" ht="21.75" customHeight="1">
      <c r="B57" s="57"/>
      <c r="C57" s="224"/>
      <c r="D57" s="977" t="s">
        <v>109</v>
      </c>
      <c r="E57" s="978"/>
      <c r="F57" s="978"/>
      <c r="G57" s="625">
        <f>IF(G55&gt;=G53,IF(ISERROR(LOOKUP(G55,H58:BE58,H60:BE60)),0,(1-E52)*LOOKUP(G55,H58:BE58,H60:BE60)),"Invalid Year")</f>
        <v>0</v>
      </c>
      <c r="H57" s="65" t="s">
        <v>76</v>
      </c>
      <c r="I57" s="303"/>
      <c r="J57" s="303"/>
      <c r="K57" s="303"/>
      <c r="L57" s="303"/>
      <c r="M57" s="65"/>
      <c r="N57" s="65"/>
      <c r="O57" s="65"/>
      <c r="P57" s="65"/>
      <c r="Q57" s="58"/>
    </row>
    <row r="58" spans="2:58" s="609" customFormat="1" ht="48.75" customHeight="1" thickBot="1">
      <c r="B58" s="610"/>
      <c r="C58" s="611"/>
      <c r="D58" s="65"/>
      <c r="E58" s="65"/>
      <c r="F58" s="65"/>
      <c r="G58" s="616" t="s">
        <v>368</v>
      </c>
      <c r="H58" s="623">
        <f>+IF(G53="","",G53)</f>
      </c>
      <c r="I58" s="623">
        <f>+IF(ISERROR(AND(H58+1&gt;$G54,H58+1&gt;$G55)),"",IF((AND(H58+1&gt;$G54,H58+1&gt;$G55)),"",H58+1))</f>
      </c>
      <c r="J58" s="623">
        <f aca="true" t="shared" si="0" ref="J58:BE58">+IF(ISERROR(AND(I58+1&gt;$G54,I58+1&gt;$G55)),"",IF((AND(I58+1&gt;$G54,I58+1&gt;$G55)),"",I58+1))</f>
      </c>
      <c r="K58" s="623">
        <f t="shared" si="0"/>
      </c>
      <c r="L58" s="623">
        <f t="shared" si="0"/>
      </c>
      <c r="M58" s="623">
        <f t="shared" si="0"/>
      </c>
      <c r="N58" s="623">
        <f t="shared" si="0"/>
      </c>
      <c r="O58" s="623">
        <f t="shared" si="0"/>
      </c>
      <c r="P58" s="623">
        <f t="shared" si="0"/>
      </c>
      <c r="Q58" s="623">
        <f t="shared" si="0"/>
      </c>
      <c r="R58" s="623">
        <f t="shared" si="0"/>
      </c>
      <c r="S58" s="623">
        <f t="shared" si="0"/>
      </c>
      <c r="T58" s="623">
        <f t="shared" si="0"/>
      </c>
      <c r="U58" s="623">
        <f t="shared" si="0"/>
      </c>
      <c r="V58" s="623">
        <f t="shared" si="0"/>
      </c>
      <c r="W58" s="623">
        <f t="shared" si="0"/>
      </c>
      <c r="X58" s="623">
        <f t="shared" si="0"/>
      </c>
      <c r="Y58" s="623">
        <f t="shared" si="0"/>
      </c>
      <c r="Z58" s="623">
        <f t="shared" si="0"/>
      </c>
      <c r="AA58" s="623">
        <f t="shared" si="0"/>
      </c>
      <c r="AB58" s="623">
        <f t="shared" si="0"/>
      </c>
      <c r="AC58" s="623">
        <f t="shared" si="0"/>
      </c>
      <c r="AD58" s="623">
        <f t="shared" si="0"/>
      </c>
      <c r="AE58" s="623">
        <f t="shared" si="0"/>
      </c>
      <c r="AF58" s="623">
        <f t="shared" si="0"/>
      </c>
      <c r="AG58" s="623">
        <f t="shared" si="0"/>
      </c>
      <c r="AH58" s="623">
        <f t="shared" si="0"/>
      </c>
      <c r="AI58" s="623">
        <f t="shared" si="0"/>
      </c>
      <c r="AJ58" s="623">
        <f t="shared" si="0"/>
      </c>
      <c r="AK58" s="623">
        <f t="shared" si="0"/>
      </c>
      <c r="AL58" s="623">
        <f t="shared" si="0"/>
      </c>
      <c r="AM58" s="623">
        <f t="shared" si="0"/>
      </c>
      <c r="AN58" s="623">
        <f t="shared" si="0"/>
      </c>
      <c r="AO58" s="623">
        <f t="shared" si="0"/>
      </c>
      <c r="AP58" s="623">
        <f t="shared" si="0"/>
      </c>
      <c r="AQ58" s="623">
        <f t="shared" si="0"/>
      </c>
      <c r="AR58" s="623">
        <f t="shared" si="0"/>
      </c>
      <c r="AS58" s="623">
        <f t="shared" si="0"/>
      </c>
      <c r="AT58" s="623">
        <f t="shared" si="0"/>
      </c>
      <c r="AU58" s="623">
        <f t="shared" si="0"/>
      </c>
      <c r="AV58" s="623">
        <f t="shared" si="0"/>
      </c>
      <c r="AW58" s="623">
        <f t="shared" si="0"/>
      </c>
      <c r="AX58" s="623">
        <f t="shared" si="0"/>
      </c>
      <c r="AY58" s="623">
        <f t="shared" si="0"/>
      </c>
      <c r="AZ58" s="623">
        <f t="shared" si="0"/>
      </c>
      <c r="BA58" s="623">
        <f t="shared" si="0"/>
      </c>
      <c r="BB58" s="623">
        <f t="shared" si="0"/>
      </c>
      <c r="BC58" s="623">
        <f t="shared" si="0"/>
      </c>
      <c r="BD58" s="623">
        <f t="shared" si="0"/>
      </c>
      <c r="BE58" s="623">
        <f t="shared" si="0"/>
      </c>
      <c r="BF58" s="193"/>
    </row>
    <row r="59" spans="2:58" ht="39.75" thickBot="1" thickTop="1">
      <c r="B59" s="57"/>
      <c r="C59" s="65"/>
      <c r="D59" s="65"/>
      <c r="E59" s="65"/>
      <c r="F59" s="65"/>
      <c r="G59" s="8" t="s">
        <v>727</v>
      </c>
      <c r="H59" s="612">
        <f>IF(ISERROR(H60*28),"",H60*28)</f>
        <v>0</v>
      </c>
      <c r="I59" s="612">
        <f aca="true" t="shared" si="1" ref="I59:BE59">IF(ISERROR(I60*28),"",I60*28)</f>
        <v>0</v>
      </c>
      <c r="J59" s="612">
        <f t="shared" si="1"/>
        <v>0</v>
      </c>
      <c r="K59" s="612">
        <f t="shared" si="1"/>
        <v>0</v>
      </c>
      <c r="L59" s="612">
        <f t="shared" si="1"/>
        <v>0</v>
      </c>
      <c r="M59" s="612">
        <f t="shared" si="1"/>
        <v>0</v>
      </c>
      <c r="N59" s="612">
        <f t="shared" si="1"/>
        <v>0</v>
      </c>
      <c r="O59" s="612">
        <f t="shared" si="1"/>
        <v>0</v>
      </c>
      <c r="P59" s="612">
        <f t="shared" si="1"/>
        <v>0</v>
      </c>
      <c r="Q59" s="612">
        <f t="shared" si="1"/>
        <v>0</v>
      </c>
      <c r="R59" s="612">
        <f t="shared" si="1"/>
        <v>0</v>
      </c>
      <c r="S59" s="612">
        <f t="shared" si="1"/>
        <v>0</v>
      </c>
      <c r="T59" s="612">
        <f t="shared" si="1"/>
        <v>0</v>
      </c>
      <c r="U59" s="612">
        <f t="shared" si="1"/>
        <v>0</v>
      </c>
      <c r="V59" s="612">
        <f t="shared" si="1"/>
        <v>0</v>
      </c>
      <c r="W59" s="612">
        <f t="shared" si="1"/>
        <v>0</v>
      </c>
      <c r="X59" s="612">
        <f t="shared" si="1"/>
        <v>0</v>
      </c>
      <c r="Y59" s="612">
        <f t="shared" si="1"/>
        <v>0</v>
      </c>
      <c r="Z59" s="612">
        <f t="shared" si="1"/>
        <v>0</v>
      </c>
      <c r="AA59" s="612">
        <f t="shared" si="1"/>
        <v>0</v>
      </c>
      <c r="AB59" s="612">
        <f t="shared" si="1"/>
        <v>0</v>
      </c>
      <c r="AC59" s="612">
        <f t="shared" si="1"/>
        <v>0</v>
      </c>
      <c r="AD59" s="612">
        <f t="shared" si="1"/>
        <v>0</v>
      </c>
      <c r="AE59" s="612">
        <f t="shared" si="1"/>
        <v>0</v>
      </c>
      <c r="AF59" s="612">
        <f t="shared" si="1"/>
        <v>0</v>
      </c>
      <c r="AG59" s="612">
        <f t="shared" si="1"/>
        <v>0</v>
      </c>
      <c r="AH59" s="612">
        <f t="shared" si="1"/>
        <v>0</v>
      </c>
      <c r="AI59" s="612">
        <f t="shared" si="1"/>
        <v>0</v>
      </c>
      <c r="AJ59" s="612">
        <f t="shared" si="1"/>
        <v>0</v>
      </c>
      <c r="AK59" s="612">
        <f t="shared" si="1"/>
        <v>0</v>
      </c>
      <c r="AL59" s="612">
        <f t="shared" si="1"/>
        <v>0</v>
      </c>
      <c r="AM59" s="612">
        <f t="shared" si="1"/>
        <v>0</v>
      </c>
      <c r="AN59" s="612">
        <f t="shared" si="1"/>
        <v>0</v>
      </c>
      <c r="AO59" s="612">
        <f t="shared" si="1"/>
        <v>0</v>
      </c>
      <c r="AP59" s="612">
        <f t="shared" si="1"/>
        <v>0</v>
      </c>
      <c r="AQ59" s="612">
        <f t="shared" si="1"/>
        <v>0</v>
      </c>
      <c r="AR59" s="612">
        <f t="shared" si="1"/>
        <v>0</v>
      </c>
      <c r="AS59" s="612">
        <f t="shared" si="1"/>
        <v>0</v>
      </c>
      <c r="AT59" s="612">
        <f t="shared" si="1"/>
        <v>0</v>
      </c>
      <c r="AU59" s="612">
        <f t="shared" si="1"/>
        <v>0</v>
      </c>
      <c r="AV59" s="612">
        <f t="shared" si="1"/>
        <v>0</v>
      </c>
      <c r="AW59" s="612">
        <f t="shared" si="1"/>
        <v>0</v>
      </c>
      <c r="AX59" s="612">
        <f t="shared" si="1"/>
        <v>0</v>
      </c>
      <c r="AY59" s="612">
        <f t="shared" si="1"/>
        <v>0</v>
      </c>
      <c r="AZ59" s="612">
        <f t="shared" si="1"/>
        <v>0</v>
      </c>
      <c r="BA59" s="612">
        <f t="shared" si="1"/>
        <v>0</v>
      </c>
      <c r="BB59" s="612">
        <f t="shared" si="1"/>
        <v>0</v>
      </c>
      <c r="BC59" s="612">
        <f t="shared" si="1"/>
        <v>0</v>
      </c>
      <c r="BD59" s="612">
        <f t="shared" si="1"/>
        <v>0</v>
      </c>
      <c r="BE59" s="612">
        <f t="shared" si="1"/>
        <v>0</v>
      </c>
      <c r="BF59" s="193"/>
    </row>
    <row r="60" spans="2:58" ht="55.5" customHeight="1" thickBot="1" thickTop="1">
      <c r="B60" s="57"/>
      <c r="C60" s="65"/>
      <c r="D60" s="65"/>
      <c r="E60" s="65"/>
      <c r="F60" s="65"/>
      <c r="G60" s="8" t="s">
        <v>107</v>
      </c>
      <c r="H60" s="612">
        <f>IF(ISERROR(H61*0.0007167),"",H61*0.0007167)</f>
        <v>0</v>
      </c>
      <c r="I60" s="612">
        <f aca="true" t="shared" si="2" ref="I60:BE60">IF(ISERROR(I61*0.0007167),"",I61*0.0007167)</f>
        <v>0</v>
      </c>
      <c r="J60" s="612">
        <f t="shared" si="2"/>
        <v>0</v>
      </c>
      <c r="K60" s="612">
        <f t="shared" si="2"/>
        <v>0</v>
      </c>
      <c r="L60" s="612">
        <f t="shared" si="2"/>
        <v>0</v>
      </c>
      <c r="M60" s="612">
        <f t="shared" si="2"/>
        <v>0</v>
      </c>
      <c r="N60" s="612">
        <f t="shared" si="2"/>
        <v>0</v>
      </c>
      <c r="O60" s="612">
        <f t="shared" si="2"/>
        <v>0</v>
      </c>
      <c r="P60" s="612">
        <f t="shared" si="2"/>
        <v>0</v>
      </c>
      <c r="Q60" s="612">
        <f t="shared" si="2"/>
        <v>0</v>
      </c>
      <c r="R60" s="612">
        <f t="shared" si="2"/>
        <v>0</v>
      </c>
      <c r="S60" s="612">
        <f t="shared" si="2"/>
        <v>0</v>
      </c>
      <c r="T60" s="612">
        <f t="shared" si="2"/>
        <v>0</v>
      </c>
      <c r="U60" s="612">
        <f t="shared" si="2"/>
        <v>0</v>
      </c>
      <c r="V60" s="612">
        <f t="shared" si="2"/>
        <v>0</v>
      </c>
      <c r="W60" s="612">
        <f t="shared" si="2"/>
        <v>0</v>
      </c>
      <c r="X60" s="612">
        <f t="shared" si="2"/>
        <v>0</v>
      </c>
      <c r="Y60" s="612">
        <f t="shared" si="2"/>
        <v>0</v>
      </c>
      <c r="Z60" s="612">
        <f t="shared" si="2"/>
        <v>0</v>
      </c>
      <c r="AA60" s="612">
        <f t="shared" si="2"/>
        <v>0</v>
      </c>
      <c r="AB60" s="612">
        <f t="shared" si="2"/>
        <v>0</v>
      </c>
      <c r="AC60" s="612">
        <f t="shared" si="2"/>
        <v>0</v>
      </c>
      <c r="AD60" s="612">
        <f t="shared" si="2"/>
        <v>0</v>
      </c>
      <c r="AE60" s="612">
        <f t="shared" si="2"/>
        <v>0</v>
      </c>
      <c r="AF60" s="612">
        <f t="shared" si="2"/>
        <v>0</v>
      </c>
      <c r="AG60" s="612">
        <f t="shared" si="2"/>
        <v>0</v>
      </c>
      <c r="AH60" s="612">
        <f t="shared" si="2"/>
        <v>0</v>
      </c>
      <c r="AI60" s="612">
        <f t="shared" si="2"/>
        <v>0</v>
      </c>
      <c r="AJ60" s="612">
        <f t="shared" si="2"/>
        <v>0</v>
      </c>
      <c r="AK60" s="612">
        <f t="shared" si="2"/>
        <v>0</v>
      </c>
      <c r="AL60" s="612">
        <f t="shared" si="2"/>
        <v>0</v>
      </c>
      <c r="AM60" s="612">
        <f t="shared" si="2"/>
        <v>0</v>
      </c>
      <c r="AN60" s="612">
        <f t="shared" si="2"/>
        <v>0</v>
      </c>
      <c r="AO60" s="612">
        <f t="shared" si="2"/>
        <v>0</v>
      </c>
      <c r="AP60" s="612">
        <f t="shared" si="2"/>
        <v>0</v>
      </c>
      <c r="AQ60" s="612">
        <f t="shared" si="2"/>
        <v>0</v>
      </c>
      <c r="AR60" s="612">
        <f t="shared" si="2"/>
        <v>0</v>
      </c>
      <c r="AS60" s="612">
        <f t="shared" si="2"/>
        <v>0</v>
      </c>
      <c r="AT60" s="612">
        <f t="shared" si="2"/>
        <v>0</v>
      </c>
      <c r="AU60" s="612">
        <f t="shared" si="2"/>
        <v>0</v>
      </c>
      <c r="AV60" s="612">
        <f t="shared" si="2"/>
        <v>0</v>
      </c>
      <c r="AW60" s="612">
        <f t="shared" si="2"/>
        <v>0</v>
      </c>
      <c r="AX60" s="612">
        <f t="shared" si="2"/>
        <v>0</v>
      </c>
      <c r="AY60" s="612">
        <f t="shared" si="2"/>
        <v>0</v>
      </c>
      <c r="AZ60" s="612">
        <f t="shared" si="2"/>
        <v>0</v>
      </c>
      <c r="BA60" s="612">
        <f t="shared" si="2"/>
        <v>0</v>
      </c>
      <c r="BB60" s="612">
        <f t="shared" si="2"/>
        <v>0</v>
      </c>
      <c r="BC60" s="612">
        <f t="shared" si="2"/>
        <v>0</v>
      </c>
      <c r="BD60" s="612">
        <f t="shared" si="2"/>
        <v>0</v>
      </c>
      <c r="BE60" s="612">
        <f t="shared" si="2"/>
        <v>0</v>
      </c>
      <c r="BF60" s="193"/>
    </row>
    <row r="61" spans="2:58" ht="27" thickBot="1" thickTop="1">
      <c r="B61" s="57"/>
      <c r="C61" s="65"/>
      <c r="D61" s="65"/>
      <c r="E61" s="65"/>
      <c r="F61" s="65"/>
      <c r="G61" s="8" t="s">
        <v>751</v>
      </c>
      <c r="H61" s="612">
        <f>IF(ISERROR(H62*((1-H64)*(1-H63)+(H64*(1-H65)))),"",H62*((1-H64)*(1-H63)+(H64*(1-H65))))</f>
        <v>0</v>
      </c>
      <c r="I61" s="612">
        <f aca="true" t="shared" si="3" ref="I61:BE61">IF(ISERROR(I62*((1-I64)*(1-I63)+(I64*(1-I65)))),"",I62*((1-I64)*(1-I63)+(I64*(1-I65))))</f>
        <v>0</v>
      </c>
      <c r="J61" s="612">
        <f t="shared" si="3"/>
        <v>0</v>
      </c>
      <c r="K61" s="612">
        <f t="shared" si="3"/>
        <v>0</v>
      </c>
      <c r="L61" s="612">
        <f t="shared" si="3"/>
        <v>0</v>
      </c>
      <c r="M61" s="612">
        <f t="shared" si="3"/>
        <v>0</v>
      </c>
      <c r="N61" s="612">
        <f t="shared" si="3"/>
        <v>0</v>
      </c>
      <c r="O61" s="612">
        <f t="shared" si="3"/>
        <v>0</v>
      </c>
      <c r="P61" s="612">
        <f t="shared" si="3"/>
        <v>0</v>
      </c>
      <c r="Q61" s="612">
        <f t="shared" si="3"/>
        <v>0</v>
      </c>
      <c r="R61" s="612">
        <f t="shared" si="3"/>
        <v>0</v>
      </c>
      <c r="S61" s="612">
        <f t="shared" si="3"/>
        <v>0</v>
      </c>
      <c r="T61" s="612">
        <f t="shared" si="3"/>
        <v>0</v>
      </c>
      <c r="U61" s="612">
        <f t="shared" si="3"/>
        <v>0</v>
      </c>
      <c r="V61" s="612">
        <f t="shared" si="3"/>
        <v>0</v>
      </c>
      <c r="W61" s="612">
        <f t="shared" si="3"/>
        <v>0</v>
      </c>
      <c r="X61" s="612">
        <f t="shared" si="3"/>
        <v>0</v>
      </c>
      <c r="Y61" s="612">
        <f t="shared" si="3"/>
        <v>0</v>
      </c>
      <c r="Z61" s="612">
        <f t="shared" si="3"/>
        <v>0</v>
      </c>
      <c r="AA61" s="612">
        <f t="shared" si="3"/>
        <v>0</v>
      </c>
      <c r="AB61" s="612">
        <f t="shared" si="3"/>
        <v>0</v>
      </c>
      <c r="AC61" s="612">
        <f t="shared" si="3"/>
        <v>0</v>
      </c>
      <c r="AD61" s="612">
        <f t="shared" si="3"/>
        <v>0</v>
      </c>
      <c r="AE61" s="612">
        <f t="shared" si="3"/>
        <v>0</v>
      </c>
      <c r="AF61" s="612">
        <f t="shared" si="3"/>
        <v>0</v>
      </c>
      <c r="AG61" s="612">
        <f t="shared" si="3"/>
        <v>0</v>
      </c>
      <c r="AH61" s="612">
        <f t="shared" si="3"/>
        <v>0</v>
      </c>
      <c r="AI61" s="612">
        <f t="shared" si="3"/>
        <v>0</v>
      </c>
      <c r="AJ61" s="612">
        <f t="shared" si="3"/>
        <v>0</v>
      </c>
      <c r="AK61" s="612">
        <f t="shared" si="3"/>
        <v>0</v>
      </c>
      <c r="AL61" s="612">
        <f t="shared" si="3"/>
        <v>0</v>
      </c>
      <c r="AM61" s="612">
        <f t="shared" si="3"/>
        <v>0</v>
      </c>
      <c r="AN61" s="612">
        <f t="shared" si="3"/>
        <v>0</v>
      </c>
      <c r="AO61" s="612">
        <f t="shared" si="3"/>
        <v>0</v>
      </c>
      <c r="AP61" s="612">
        <f t="shared" si="3"/>
        <v>0</v>
      </c>
      <c r="AQ61" s="612">
        <f t="shared" si="3"/>
        <v>0</v>
      </c>
      <c r="AR61" s="612">
        <f t="shared" si="3"/>
        <v>0</v>
      </c>
      <c r="AS61" s="612">
        <f t="shared" si="3"/>
        <v>0</v>
      </c>
      <c r="AT61" s="612">
        <f t="shared" si="3"/>
        <v>0</v>
      </c>
      <c r="AU61" s="612">
        <f t="shared" si="3"/>
        <v>0</v>
      </c>
      <c r="AV61" s="612">
        <f t="shared" si="3"/>
        <v>0</v>
      </c>
      <c r="AW61" s="612">
        <f t="shared" si="3"/>
        <v>0</v>
      </c>
      <c r="AX61" s="612">
        <f t="shared" si="3"/>
        <v>0</v>
      </c>
      <c r="AY61" s="612">
        <f t="shared" si="3"/>
        <v>0</v>
      </c>
      <c r="AZ61" s="612">
        <f t="shared" si="3"/>
        <v>0</v>
      </c>
      <c r="BA61" s="612">
        <f t="shared" si="3"/>
        <v>0</v>
      </c>
      <c r="BB61" s="612">
        <f t="shared" si="3"/>
        <v>0</v>
      </c>
      <c r="BC61" s="612">
        <f t="shared" si="3"/>
        <v>0</v>
      </c>
      <c r="BD61" s="612">
        <f t="shared" si="3"/>
        <v>0</v>
      </c>
      <c r="BE61" s="612">
        <f t="shared" si="3"/>
        <v>0</v>
      </c>
      <c r="BF61" s="193"/>
    </row>
    <row r="62" spans="2:58" ht="52.5" thickBot="1" thickTop="1">
      <c r="B62" s="57"/>
      <c r="C62" s="65"/>
      <c r="D62" s="65"/>
      <c r="E62" s="65"/>
      <c r="F62" s="65"/>
      <c r="G62" s="165" t="s">
        <v>747</v>
      </c>
      <c r="H62" s="612">
        <f>IF(ISERROR(SUM(H$66:H$115)),"",SUM(H$66:H$115))</f>
        <v>0</v>
      </c>
      <c r="I62" s="612">
        <f aca="true" t="shared" si="4" ref="I62:BE62">IF(ISERROR(SUM(I$66:I$115)),"",SUM(I$66:I$115))</f>
        <v>0</v>
      </c>
      <c r="J62" s="612">
        <f t="shared" si="4"/>
        <v>0</v>
      </c>
      <c r="K62" s="612">
        <f t="shared" si="4"/>
        <v>0</v>
      </c>
      <c r="L62" s="612">
        <f t="shared" si="4"/>
        <v>0</v>
      </c>
      <c r="M62" s="612">
        <f t="shared" si="4"/>
        <v>0</v>
      </c>
      <c r="N62" s="612">
        <f t="shared" si="4"/>
        <v>0</v>
      </c>
      <c r="O62" s="612">
        <f t="shared" si="4"/>
        <v>0</v>
      </c>
      <c r="P62" s="612">
        <f t="shared" si="4"/>
        <v>0</v>
      </c>
      <c r="Q62" s="612">
        <f t="shared" si="4"/>
        <v>0</v>
      </c>
      <c r="R62" s="612">
        <f t="shared" si="4"/>
        <v>0</v>
      </c>
      <c r="S62" s="612">
        <f t="shared" si="4"/>
        <v>0</v>
      </c>
      <c r="T62" s="612">
        <f t="shared" si="4"/>
        <v>0</v>
      </c>
      <c r="U62" s="612">
        <f t="shared" si="4"/>
        <v>0</v>
      </c>
      <c r="V62" s="612">
        <f t="shared" si="4"/>
        <v>0</v>
      </c>
      <c r="W62" s="612">
        <f t="shared" si="4"/>
        <v>0</v>
      </c>
      <c r="X62" s="612">
        <f t="shared" si="4"/>
        <v>0</v>
      </c>
      <c r="Y62" s="612">
        <f t="shared" si="4"/>
        <v>0</v>
      </c>
      <c r="Z62" s="612">
        <f t="shared" si="4"/>
        <v>0</v>
      </c>
      <c r="AA62" s="612">
        <f t="shared" si="4"/>
        <v>0</v>
      </c>
      <c r="AB62" s="612">
        <f t="shared" si="4"/>
        <v>0</v>
      </c>
      <c r="AC62" s="612">
        <f t="shared" si="4"/>
        <v>0</v>
      </c>
      <c r="AD62" s="612">
        <f t="shared" si="4"/>
        <v>0</v>
      </c>
      <c r="AE62" s="612">
        <f t="shared" si="4"/>
        <v>0</v>
      </c>
      <c r="AF62" s="612">
        <f t="shared" si="4"/>
        <v>0</v>
      </c>
      <c r="AG62" s="612">
        <f t="shared" si="4"/>
        <v>0</v>
      </c>
      <c r="AH62" s="612">
        <f t="shared" si="4"/>
        <v>0</v>
      </c>
      <c r="AI62" s="612">
        <f t="shared" si="4"/>
        <v>0</v>
      </c>
      <c r="AJ62" s="612">
        <f t="shared" si="4"/>
        <v>0</v>
      </c>
      <c r="AK62" s="612">
        <f t="shared" si="4"/>
        <v>0</v>
      </c>
      <c r="AL62" s="612">
        <f t="shared" si="4"/>
        <v>0</v>
      </c>
      <c r="AM62" s="612">
        <f t="shared" si="4"/>
        <v>0</v>
      </c>
      <c r="AN62" s="612">
        <f t="shared" si="4"/>
        <v>0</v>
      </c>
      <c r="AO62" s="612">
        <f t="shared" si="4"/>
        <v>0</v>
      </c>
      <c r="AP62" s="612">
        <f t="shared" si="4"/>
        <v>0</v>
      </c>
      <c r="AQ62" s="612">
        <f t="shared" si="4"/>
        <v>0</v>
      </c>
      <c r="AR62" s="612">
        <f t="shared" si="4"/>
        <v>0</v>
      </c>
      <c r="AS62" s="612">
        <f t="shared" si="4"/>
        <v>0</v>
      </c>
      <c r="AT62" s="612">
        <f t="shared" si="4"/>
        <v>0</v>
      </c>
      <c r="AU62" s="612">
        <f t="shared" si="4"/>
        <v>0</v>
      </c>
      <c r="AV62" s="612">
        <f t="shared" si="4"/>
        <v>0</v>
      </c>
      <c r="AW62" s="612">
        <f t="shared" si="4"/>
        <v>0</v>
      </c>
      <c r="AX62" s="612">
        <f t="shared" si="4"/>
        <v>0</v>
      </c>
      <c r="AY62" s="612">
        <f t="shared" si="4"/>
        <v>0</v>
      </c>
      <c r="AZ62" s="612">
        <f t="shared" si="4"/>
        <v>0</v>
      </c>
      <c r="BA62" s="612">
        <f t="shared" si="4"/>
        <v>0</v>
      </c>
      <c r="BB62" s="612">
        <f t="shared" si="4"/>
        <v>0</v>
      </c>
      <c r="BC62" s="612">
        <f t="shared" si="4"/>
        <v>0</v>
      </c>
      <c r="BD62" s="612">
        <f t="shared" si="4"/>
        <v>0</v>
      </c>
      <c r="BE62" s="612">
        <f t="shared" si="4"/>
        <v>0</v>
      </c>
      <c r="BF62" s="193"/>
    </row>
    <row r="63" spans="2:58" ht="65.25" thickBot="1" thickTop="1">
      <c r="B63" s="67"/>
      <c r="C63" s="65"/>
      <c r="D63" s="658" t="s">
        <v>676</v>
      </c>
      <c r="E63" s="65"/>
      <c r="F63" s="65"/>
      <c r="G63" s="5" t="s">
        <v>742</v>
      </c>
      <c r="H63" s="718"/>
      <c r="I63" s="718"/>
      <c r="J63" s="718"/>
      <c r="K63" s="718"/>
      <c r="L63" s="718"/>
      <c r="M63" s="718"/>
      <c r="N63" s="718"/>
      <c r="O63" s="718"/>
      <c r="P63" s="718"/>
      <c r="Q63" s="718"/>
      <c r="R63" s="718"/>
      <c r="S63" s="718"/>
      <c r="T63" s="718"/>
      <c r="U63" s="718"/>
      <c r="V63" s="718"/>
      <c r="W63" s="718"/>
      <c r="X63" s="718"/>
      <c r="Y63" s="718"/>
      <c r="Z63" s="718"/>
      <c r="AA63" s="718"/>
      <c r="AB63" s="718"/>
      <c r="AC63" s="718"/>
      <c r="AD63" s="718"/>
      <c r="AE63" s="718"/>
      <c r="AF63" s="718"/>
      <c r="AG63" s="718"/>
      <c r="AH63" s="718"/>
      <c r="AI63" s="718"/>
      <c r="AJ63" s="718"/>
      <c r="AK63" s="718"/>
      <c r="AL63" s="718"/>
      <c r="AM63" s="718"/>
      <c r="AN63" s="718"/>
      <c r="AO63" s="718"/>
      <c r="AP63" s="718"/>
      <c r="AQ63" s="718"/>
      <c r="AR63" s="718"/>
      <c r="AS63" s="718"/>
      <c r="AT63" s="718"/>
      <c r="AU63" s="718"/>
      <c r="AV63" s="718"/>
      <c r="AW63" s="718"/>
      <c r="AX63" s="718"/>
      <c r="AY63" s="718"/>
      <c r="AZ63" s="718"/>
      <c r="BA63" s="718"/>
      <c r="BB63" s="718"/>
      <c r="BC63" s="718"/>
      <c r="BD63" s="718"/>
      <c r="BE63" s="718"/>
      <c r="BF63" s="193"/>
    </row>
    <row r="64" spans="2:58" ht="27" thickBot="1" thickTop="1">
      <c r="B64" s="57"/>
      <c r="C64" s="65"/>
      <c r="D64" s="65"/>
      <c r="E64" s="65"/>
      <c r="F64" s="65"/>
      <c r="G64" s="5" t="s">
        <v>792</v>
      </c>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8"/>
      <c r="AY64" s="718"/>
      <c r="AZ64" s="718"/>
      <c r="BA64" s="718"/>
      <c r="BB64" s="718"/>
      <c r="BC64" s="718"/>
      <c r="BD64" s="718"/>
      <c r="BE64" s="718"/>
      <c r="BF64" s="193"/>
    </row>
    <row r="65" spans="2:58" ht="66.75" thickBot="1" thickTop="1">
      <c r="B65" s="57"/>
      <c r="C65" s="8" t="s">
        <v>578</v>
      </c>
      <c r="D65" s="8" t="s">
        <v>574</v>
      </c>
      <c r="E65" s="8" t="s">
        <v>575</v>
      </c>
      <c r="F65" s="8" t="s">
        <v>576</v>
      </c>
      <c r="G65" s="619" t="s">
        <v>797</v>
      </c>
      <c r="H65" s="727"/>
      <c r="I65" s="727"/>
      <c r="J65" s="727"/>
      <c r="K65" s="727"/>
      <c r="L65" s="727"/>
      <c r="M65" s="727"/>
      <c r="N65" s="727"/>
      <c r="O65" s="727"/>
      <c r="P65" s="727"/>
      <c r="Q65" s="727"/>
      <c r="R65" s="727"/>
      <c r="S65" s="727"/>
      <c r="T65" s="727"/>
      <c r="U65" s="727"/>
      <c r="V65" s="727"/>
      <c r="W65" s="727"/>
      <c r="X65" s="727"/>
      <c r="Y65" s="727"/>
      <c r="Z65" s="727"/>
      <c r="AA65" s="727"/>
      <c r="AB65" s="727"/>
      <c r="AC65" s="727"/>
      <c r="AD65" s="727"/>
      <c r="AE65" s="727"/>
      <c r="AF65" s="727"/>
      <c r="AG65" s="727"/>
      <c r="AH65" s="727"/>
      <c r="AI65" s="727"/>
      <c r="AJ65" s="727"/>
      <c r="AK65" s="727"/>
      <c r="AL65" s="727"/>
      <c r="AM65" s="727"/>
      <c r="AN65" s="727"/>
      <c r="AO65" s="727"/>
      <c r="AP65" s="727"/>
      <c r="AQ65" s="727"/>
      <c r="AR65" s="727"/>
      <c r="AS65" s="727"/>
      <c r="AT65" s="727"/>
      <c r="AU65" s="727"/>
      <c r="AV65" s="727"/>
      <c r="AW65" s="727"/>
      <c r="AX65" s="727"/>
      <c r="AY65" s="727"/>
      <c r="AZ65" s="727"/>
      <c r="BA65" s="727"/>
      <c r="BB65" s="727"/>
      <c r="BC65" s="727"/>
      <c r="BD65" s="727"/>
      <c r="BE65" s="727"/>
      <c r="BF65" s="193"/>
    </row>
    <row r="66" spans="2:58" ht="18.75" customHeight="1" thickBot="1" thickTop="1">
      <c r="B66" s="57"/>
      <c r="C66" s="624">
        <f>+IF(H$58&lt;=$G$54,H$58,"")</f>
      </c>
      <c r="D66" s="728"/>
      <c r="E66" s="729"/>
      <c r="F66" s="730"/>
      <c r="G66" s="613"/>
      <c r="H66" s="614">
        <f aca="true" t="shared" si="5" ref="H66:AM66">IF(ISERROR($F66*$E66*EXP(-$F66*(H$58-$C66+0.5))*$D66),"",$F66*$E66*EXP(-$F66*(H$58-$C66+0.5))*$D66)</f>
      </c>
      <c r="I66" s="614">
        <f t="shared" si="5"/>
      </c>
      <c r="J66" s="614">
        <f t="shared" si="5"/>
      </c>
      <c r="K66" s="614">
        <f t="shared" si="5"/>
      </c>
      <c r="L66" s="614">
        <f t="shared" si="5"/>
      </c>
      <c r="M66" s="614">
        <f t="shared" si="5"/>
      </c>
      <c r="N66" s="614">
        <f t="shared" si="5"/>
      </c>
      <c r="O66" s="614">
        <f t="shared" si="5"/>
      </c>
      <c r="P66" s="614">
        <f t="shared" si="5"/>
      </c>
      <c r="Q66" s="614">
        <f t="shared" si="5"/>
      </c>
      <c r="R66" s="614">
        <f t="shared" si="5"/>
      </c>
      <c r="S66" s="614">
        <f t="shared" si="5"/>
      </c>
      <c r="T66" s="614">
        <f t="shared" si="5"/>
      </c>
      <c r="U66" s="614">
        <f t="shared" si="5"/>
      </c>
      <c r="V66" s="614">
        <f t="shared" si="5"/>
      </c>
      <c r="W66" s="614">
        <f t="shared" si="5"/>
      </c>
      <c r="X66" s="614">
        <f t="shared" si="5"/>
      </c>
      <c r="Y66" s="614">
        <f t="shared" si="5"/>
      </c>
      <c r="Z66" s="614">
        <f t="shared" si="5"/>
      </c>
      <c r="AA66" s="614">
        <f t="shared" si="5"/>
      </c>
      <c r="AB66" s="614">
        <f t="shared" si="5"/>
      </c>
      <c r="AC66" s="614">
        <f t="shared" si="5"/>
      </c>
      <c r="AD66" s="614">
        <f t="shared" si="5"/>
      </c>
      <c r="AE66" s="614">
        <f t="shared" si="5"/>
      </c>
      <c r="AF66" s="614">
        <f t="shared" si="5"/>
      </c>
      <c r="AG66" s="614">
        <f t="shared" si="5"/>
      </c>
      <c r="AH66" s="614">
        <f t="shared" si="5"/>
      </c>
      <c r="AI66" s="614">
        <f t="shared" si="5"/>
      </c>
      <c r="AJ66" s="614">
        <f t="shared" si="5"/>
      </c>
      <c r="AK66" s="614">
        <f t="shared" si="5"/>
      </c>
      <c r="AL66" s="614">
        <f t="shared" si="5"/>
      </c>
      <c r="AM66" s="614">
        <f t="shared" si="5"/>
      </c>
      <c r="AN66" s="614">
        <f aca="true" t="shared" si="6" ref="AN66:BE66">IF(ISERROR($F66*$E66*EXP(-$F66*(AN$58-$C66+0.5))*$D66),"",$F66*$E66*EXP(-$F66*(AN$58-$C66+0.5))*$D66)</f>
      </c>
      <c r="AO66" s="614">
        <f t="shared" si="6"/>
      </c>
      <c r="AP66" s="614">
        <f t="shared" si="6"/>
      </c>
      <c r="AQ66" s="614">
        <f t="shared" si="6"/>
      </c>
      <c r="AR66" s="614">
        <f t="shared" si="6"/>
      </c>
      <c r="AS66" s="614">
        <f t="shared" si="6"/>
      </c>
      <c r="AT66" s="614">
        <f t="shared" si="6"/>
      </c>
      <c r="AU66" s="614">
        <f t="shared" si="6"/>
      </c>
      <c r="AV66" s="614">
        <f t="shared" si="6"/>
      </c>
      <c r="AW66" s="614">
        <f t="shared" si="6"/>
      </c>
      <c r="AX66" s="614">
        <f t="shared" si="6"/>
      </c>
      <c r="AY66" s="614">
        <f t="shared" si="6"/>
      </c>
      <c r="AZ66" s="614">
        <f t="shared" si="6"/>
      </c>
      <c r="BA66" s="614">
        <f t="shared" si="6"/>
      </c>
      <c r="BB66" s="614">
        <f t="shared" si="6"/>
      </c>
      <c r="BC66" s="614">
        <f t="shared" si="6"/>
      </c>
      <c r="BD66" s="614">
        <f t="shared" si="6"/>
      </c>
      <c r="BE66" s="614">
        <f t="shared" si="6"/>
      </c>
      <c r="BF66" s="193"/>
    </row>
    <row r="67" spans="2:58" ht="18" customHeight="1" thickBot="1" thickTop="1">
      <c r="B67" s="57"/>
      <c r="C67" s="624">
        <f>+IF(I$58&lt;=$G$54,I$58,"")</f>
      </c>
      <c r="D67" s="728"/>
      <c r="E67" s="729"/>
      <c r="F67" s="730"/>
      <c r="G67" s="613"/>
      <c r="H67" s="615"/>
      <c r="I67" s="614">
        <f aca="true" t="shared" si="7" ref="I67:AC67">IF(ISERROR($F67*$E67*EXP(-$F67*(I$58-$C67+0.5))*$D67),"",$F67*$E67*EXP(-$F67*(I$58-$C67+0.5))*$D67)</f>
      </c>
      <c r="J67" s="614">
        <f t="shared" si="7"/>
      </c>
      <c r="K67" s="614">
        <f t="shared" si="7"/>
      </c>
      <c r="L67" s="614">
        <f t="shared" si="7"/>
      </c>
      <c r="M67" s="614">
        <f t="shared" si="7"/>
      </c>
      <c r="N67" s="614">
        <f t="shared" si="7"/>
      </c>
      <c r="O67" s="614">
        <f t="shared" si="7"/>
      </c>
      <c r="P67" s="614">
        <f t="shared" si="7"/>
      </c>
      <c r="Q67" s="614">
        <f t="shared" si="7"/>
      </c>
      <c r="R67" s="614">
        <f t="shared" si="7"/>
      </c>
      <c r="S67" s="614">
        <f t="shared" si="7"/>
      </c>
      <c r="T67" s="614">
        <f t="shared" si="7"/>
      </c>
      <c r="U67" s="614">
        <f t="shared" si="7"/>
      </c>
      <c r="V67" s="614">
        <f t="shared" si="7"/>
      </c>
      <c r="W67" s="614">
        <f t="shared" si="7"/>
      </c>
      <c r="X67" s="614">
        <f t="shared" si="7"/>
      </c>
      <c r="Y67" s="614">
        <f t="shared" si="7"/>
      </c>
      <c r="Z67" s="614">
        <f t="shared" si="7"/>
      </c>
      <c r="AA67" s="614">
        <f t="shared" si="7"/>
      </c>
      <c r="AB67" s="614">
        <f t="shared" si="7"/>
      </c>
      <c r="AC67" s="614">
        <f t="shared" si="7"/>
      </c>
      <c r="AD67" s="614">
        <f aca="true" t="shared" si="8" ref="AD67:AS67">IF(ISERROR($F67*$E67*EXP(-$F67*(AD$58-$C67+0.5))*$D67),"",$F67*$E67*EXP(-$F67*(AD$58-$C67+0.5))*$D67)</f>
      </c>
      <c r="AE67" s="614">
        <f t="shared" si="8"/>
      </c>
      <c r="AF67" s="614">
        <f t="shared" si="8"/>
      </c>
      <c r="AG67" s="614">
        <f t="shared" si="8"/>
      </c>
      <c r="AH67" s="614">
        <f t="shared" si="8"/>
      </c>
      <c r="AI67" s="614">
        <f t="shared" si="8"/>
      </c>
      <c r="AJ67" s="614">
        <f t="shared" si="8"/>
      </c>
      <c r="AK67" s="614">
        <f t="shared" si="8"/>
      </c>
      <c r="AL67" s="614">
        <f t="shared" si="8"/>
      </c>
      <c r="AM67" s="614">
        <f t="shared" si="8"/>
      </c>
      <c r="AN67" s="614">
        <f t="shared" si="8"/>
      </c>
      <c r="AO67" s="614">
        <f t="shared" si="8"/>
      </c>
      <c r="AP67" s="614">
        <f t="shared" si="8"/>
      </c>
      <c r="AQ67" s="614">
        <f t="shared" si="8"/>
      </c>
      <c r="AR67" s="614">
        <f t="shared" si="8"/>
      </c>
      <c r="AS67" s="614">
        <f t="shared" si="8"/>
      </c>
      <c r="AT67" s="614">
        <f aca="true" t="shared" si="9" ref="AL67:AV85">IF(ISERROR($F67*$E67*EXP(-$F67*(AT$58-$C67+0.5))*$D67),"",$F67*$E67*EXP(-$F67*(AT$58-$C67+0.5))*$D67)</f>
      </c>
      <c r="AU67" s="614">
        <f t="shared" si="9"/>
      </c>
      <c r="AV67" s="614">
        <f t="shared" si="9"/>
      </c>
      <c r="AW67" s="614">
        <f aca="true" t="shared" si="10" ref="AW67:BE85">IF(ISERROR($F67*$E67*EXP(-$F67*(AW$58-$C67+0.5))*$D67),"",$F67*$E67*EXP(-$F67*(AW$58-$C67+0.5))*$D67)</f>
      </c>
      <c r="AX67" s="614">
        <f t="shared" si="10"/>
      </c>
      <c r="AY67" s="614">
        <f t="shared" si="10"/>
      </c>
      <c r="AZ67" s="614">
        <f t="shared" si="10"/>
      </c>
      <c r="BA67" s="614">
        <f t="shared" si="10"/>
      </c>
      <c r="BB67" s="614">
        <f t="shared" si="10"/>
      </c>
      <c r="BC67" s="614">
        <f t="shared" si="10"/>
      </c>
      <c r="BD67" s="614">
        <f t="shared" si="10"/>
      </c>
      <c r="BE67" s="614">
        <f t="shared" si="10"/>
      </c>
      <c r="BF67" s="193"/>
    </row>
    <row r="68" spans="2:58" ht="20.25" customHeight="1" thickBot="1" thickTop="1">
      <c r="B68" s="57"/>
      <c r="C68" s="624">
        <f>+IF(J$58&lt;=$G$54,J$58,"")</f>
      </c>
      <c r="D68" s="728"/>
      <c r="E68" s="729"/>
      <c r="F68" s="730"/>
      <c r="G68" s="613"/>
      <c r="H68" s="615"/>
      <c r="I68" s="615"/>
      <c r="J68" s="614">
        <f aca="true" t="shared" si="11" ref="J68:AC68">IF(ISERROR($F68*$E68*EXP(-$F68*(J$58-$C68+0.5))*$D68),"",$F68*$E68*EXP(-$F68*(J$58-$C68+0.5))*$D68)</f>
      </c>
      <c r="K68" s="614">
        <f t="shared" si="11"/>
      </c>
      <c r="L68" s="614">
        <f t="shared" si="11"/>
      </c>
      <c r="M68" s="614">
        <f t="shared" si="11"/>
      </c>
      <c r="N68" s="614">
        <f t="shared" si="11"/>
      </c>
      <c r="O68" s="614">
        <f t="shared" si="11"/>
      </c>
      <c r="P68" s="614">
        <f t="shared" si="11"/>
      </c>
      <c r="Q68" s="614">
        <f t="shared" si="11"/>
      </c>
      <c r="R68" s="614">
        <f t="shared" si="11"/>
      </c>
      <c r="S68" s="614">
        <f t="shared" si="11"/>
      </c>
      <c r="T68" s="614">
        <f t="shared" si="11"/>
      </c>
      <c r="U68" s="614">
        <f t="shared" si="11"/>
      </c>
      <c r="V68" s="614">
        <f t="shared" si="11"/>
      </c>
      <c r="W68" s="614">
        <f t="shared" si="11"/>
      </c>
      <c r="X68" s="614">
        <f t="shared" si="11"/>
      </c>
      <c r="Y68" s="614">
        <f t="shared" si="11"/>
      </c>
      <c r="Z68" s="614">
        <f t="shared" si="11"/>
      </c>
      <c r="AA68" s="614">
        <f t="shared" si="11"/>
      </c>
      <c r="AB68" s="614">
        <f t="shared" si="11"/>
      </c>
      <c r="AC68" s="614">
        <f t="shared" si="11"/>
      </c>
      <c r="AD68" s="614">
        <f aca="true" t="shared" si="12" ref="AD68:AK77">IF(ISERROR($F68*$E68*EXP(-$F68*(AD$58-$C68+0.5))*$D68),"",$F68*$E68*EXP(-$F68*(AD$58-$C68+0.5))*$D68)</f>
      </c>
      <c r="AE68" s="614">
        <f t="shared" si="12"/>
      </c>
      <c r="AF68" s="614">
        <f t="shared" si="12"/>
      </c>
      <c r="AG68" s="614">
        <f t="shared" si="12"/>
      </c>
      <c r="AH68" s="614">
        <f t="shared" si="12"/>
      </c>
      <c r="AI68" s="614">
        <f t="shared" si="12"/>
      </c>
      <c r="AJ68" s="614">
        <f t="shared" si="12"/>
      </c>
      <c r="AK68" s="614">
        <f t="shared" si="12"/>
      </c>
      <c r="AL68" s="614">
        <f t="shared" si="9"/>
      </c>
      <c r="AM68" s="614">
        <f t="shared" si="9"/>
      </c>
      <c r="AN68" s="614">
        <f t="shared" si="9"/>
      </c>
      <c r="AO68" s="614">
        <f t="shared" si="9"/>
      </c>
      <c r="AP68" s="614">
        <f t="shared" si="9"/>
      </c>
      <c r="AQ68" s="614">
        <f t="shared" si="9"/>
      </c>
      <c r="AR68" s="614">
        <f t="shared" si="9"/>
      </c>
      <c r="AS68" s="614">
        <f t="shared" si="9"/>
      </c>
      <c r="AT68" s="614">
        <f t="shared" si="9"/>
      </c>
      <c r="AU68" s="614">
        <f t="shared" si="9"/>
      </c>
      <c r="AV68" s="614">
        <f t="shared" si="9"/>
      </c>
      <c r="AW68" s="614">
        <f t="shared" si="10"/>
      </c>
      <c r="AX68" s="614">
        <f t="shared" si="10"/>
      </c>
      <c r="AY68" s="614">
        <f t="shared" si="10"/>
      </c>
      <c r="AZ68" s="614">
        <f t="shared" si="10"/>
      </c>
      <c r="BA68" s="614">
        <f t="shared" si="10"/>
      </c>
      <c r="BB68" s="614">
        <f t="shared" si="10"/>
      </c>
      <c r="BC68" s="614">
        <f t="shared" si="10"/>
      </c>
      <c r="BD68" s="614">
        <f t="shared" si="10"/>
      </c>
      <c r="BE68" s="614">
        <f t="shared" si="10"/>
      </c>
      <c r="BF68" s="193"/>
    </row>
    <row r="69" spans="2:58" ht="21" customHeight="1" thickBot="1" thickTop="1">
      <c r="B69" s="57"/>
      <c r="C69" s="624">
        <f>+IF(K$58&lt;=$G$54,K$58,"")</f>
      </c>
      <c r="D69" s="728"/>
      <c r="E69" s="729"/>
      <c r="F69" s="730"/>
      <c r="G69" s="613"/>
      <c r="H69" s="615"/>
      <c r="I69" s="615"/>
      <c r="J69" s="615"/>
      <c r="K69" s="614">
        <f aca="true" t="shared" si="13" ref="K69:AC69">IF(ISERROR($F69*$E69*EXP(-$F69*(K$58-$C69+0.5))*$D69),"",$F69*$E69*EXP(-$F69*(K$58-$C69+0.5))*$D69)</f>
      </c>
      <c r="L69" s="614">
        <f t="shared" si="13"/>
      </c>
      <c r="M69" s="614">
        <f t="shared" si="13"/>
      </c>
      <c r="N69" s="614">
        <f t="shared" si="13"/>
      </c>
      <c r="O69" s="614">
        <f t="shared" si="13"/>
      </c>
      <c r="P69" s="614">
        <f t="shared" si="13"/>
      </c>
      <c r="Q69" s="614">
        <f t="shared" si="13"/>
      </c>
      <c r="R69" s="614">
        <f t="shared" si="13"/>
      </c>
      <c r="S69" s="614">
        <f t="shared" si="13"/>
      </c>
      <c r="T69" s="614">
        <f t="shared" si="13"/>
      </c>
      <c r="U69" s="614">
        <f t="shared" si="13"/>
      </c>
      <c r="V69" s="614">
        <f t="shared" si="13"/>
      </c>
      <c r="W69" s="614">
        <f t="shared" si="13"/>
      </c>
      <c r="X69" s="614">
        <f t="shared" si="13"/>
      </c>
      <c r="Y69" s="614">
        <f t="shared" si="13"/>
      </c>
      <c r="Z69" s="614">
        <f t="shared" si="13"/>
      </c>
      <c r="AA69" s="614">
        <f t="shared" si="13"/>
      </c>
      <c r="AB69" s="614">
        <f t="shared" si="13"/>
      </c>
      <c r="AC69" s="614">
        <f t="shared" si="13"/>
      </c>
      <c r="AD69" s="614">
        <f t="shared" si="12"/>
      </c>
      <c r="AE69" s="614">
        <f t="shared" si="12"/>
      </c>
      <c r="AF69" s="614">
        <f t="shared" si="12"/>
      </c>
      <c r="AG69" s="614">
        <f t="shared" si="12"/>
      </c>
      <c r="AH69" s="614">
        <f t="shared" si="12"/>
      </c>
      <c r="AI69" s="614">
        <f t="shared" si="12"/>
      </c>
      <c r="AJ69" s="614">
        <f t="shared" si="12"/>
      </c>
      <c r="AK69" s="614">
        <f t="shared" si="12"/>
      </c>
      <c r="AL69" s="614">
        <f t="shared" si="9"/>
      </c>
      <c r="AM69" s="614">
        <f t="shared" si="9"/>
      </c>
      <c r="AN69" s="614">
        <f t="shared" si="9"/>
      </c>
      <c r="AO69" s="614">
        <f t="shared" si="9"/>
      </c>
      <c r="AP69" s="614">
        <f t="shared" si="9"/>
      </c>
      <c r="AQ69" s="614">
        <f t="shared" si="9"/>
      </c>
      <c r="AR69" s="614">
        <f t="shared" si="9"/>
      </c>
      <c r="AS69" s="614">
        <f t="shared" si="9"/>
      </c>
      <c r="AT69" s="614">
        <f t="shared" si="9"/>
      </c>
      <c r="AU69" s="614">
        <f t="shared" si="9"/>
      </c>
      <c r="AV69" s="614">
        <f t="shared" si="9"/>
      </c>
      <c r="AW69" s="614">
        <f t="shared" si="10"/>
      </c>
      <c r="AX69" s="614">
        <f t="shared" si="10"/>
      </c>
      <c r="AY69" s="614">
        <f t="shared" si="10"/>
      </c>
      <c r="AZ69" s="614">
        <f t="shared" si="10"/>
      </c>
      <c r="BA69" s="614">
        <f t="shared" si="10"/>
      </c>
      <c r="BB69" s="614">
        <f t="shared" si="10"/>
      </c>
      <c r="BC69" s="614">
        <f t="shared" si="10"/>
      </c>
      <c r="BD69" s="614">
        <f t="shared" si="10"/>
      </c>
      <c r="BE69" s="614">
        <f t="shared" si="10"/>
      </c>
      <c r="BF69" s="193"/>
    </row>
    <row r="70" spans="2:58" ht="20.25" customHeight="1" thickBot="1" thickTop="1">
      <c r="B70" s="57"/>
      <c r="C70" s="624">
        <f>+IF(L$58&lt;=$G$54,L$58,"")</f>
      </c>
      <c r="D70" s="728"/>
      <c r="E70" s="729"/>
      <c r="F70" s="730"/>
      <c r="G70" s="613"/>
      <c r="H70" s="615"/>
      <c r="I70" s="615"/>
      <c r="J70" s="615"/>
      <c r="K70" s="615"/>
      <c r="L70" s="614">
        <f aca="true" t="shared" si="14" ref="L70:AC70">IF(ISERROR($F70*$E70*EXP(-$F70*(L$58-$C70+0.5))*$D70),"",$F70*$E70*EXP(-$F70*(L$58-$C70+0.5))*$D70)</f>
      </c>
      <c r="M70" s="614">
        <f t="shared" si="14"/>
      </c>
      <c r="N70" s="614">
        <f t="shared" si="14"/>
      </c>
      <c r="O70" s="614">
        <f t="shared" si="14"/>
      </c>
      <c r="P70" s="614">
        <f t="shared" si="14"/>
      </c>
      <c r="Q70" s="614">
        <f t="shared" si="14"/>
      </c>
      <c r="R70" s="614">
        <f t="shared" si="14"/>
      </c>
      <c r="S70" s="614">
        <f t="shared" si="14"/>
      </c>
      <c r="T70" s="614">
        <f t="shared" si="14"/>
      </c>
      <c r="U70" s="614">
        <f t="shared" si="14"/>
      </c>
      <c r="V70" s="614">
        <f t="shared" si="14"/>
      </c>
      <c r="W70" s="614">
        <f t="shared" si="14"/>
      </c>
      <c r="X70" s="614">
        <f t="shared" si="14"/>
      </c>
      <c r="Y70" s="614">
        <f t="shared" si="14"/>
      </c>
      <c r="Z70" s="614">
        <f t="shared" si="14"/>
      </c>
      <c r="AA70" s="614">
        <f t="shared" si="14"/>
      </c>
      <c r="AB70" s="614">
        <f t="shared" si="14"/>
      </c>
      <c r="AC70" s="614">
        <f t="shared" si="14"/>
      </c>
      <c r="AD70" s="614">
        <f t="shared" si="12"/>
      </c>
      <c r="AE70" s="614">
        <f t="shared" si="12"/>
      </c>
      <c r="AF70" s="614">
        <f t="shared" si="12"/>
      </c>
      <c r="AG70" s="614">
        <f t="shared" si="12"/>
      </c>
      <c r="AH70" s="614">
        <f t="shared" si="12"/>
      </c>
      <c r="AI70" s="614">
        <f t="shared" si="12"/>
      </c>
      <c r="AJ70" s="614">
        <f t="shared" si="12"/>
      </c>
      <c r="AK70" s="614">
        <f t="shared" si="12"/>
      </c>
      <c r="AL70" s="614">
        <f t="shared" si="9"/>
      </c>
      <c r="AM70" s="614">
        <f t="shared" si="9"/>
      </c>
      <c r="AN70" s="614">
        <f t="shared" si="9"/>
      </c>
      <c r="AO70" s="614">
        <f t="shared" si="9"/>
      </c>
      <c r="AP70" s="614">
        <f t="shared" si="9"/>
      </c>
      <c r="AQ70" s="614">
        <f t="shared" si="9"/>
      </c>
      <c r="AR70" s="614">
        <f t="shared" si="9"/>
      </c>
      <c r="AS70" s="614">
        <f t="shared" si="9"/>
      </c>
      <c r="AT70" s="614">
        <f t="shared" si="9"/>
      </c>
      <c r="AU70" s="614">
        <f t="shared" si="9"/>
      </c>
      <c r="AV70" s="614">
        <f t="shared" si="9"/>
      </c>
      <c r="AW70" s="614">
        <f t="shared" si="10"/>
      </c>
      <c r="AX70" s="614">
        <f t="shared" si="10"/>
      </c>
      <c r="AY70" s="614">
        <f t="shared" si="10"/>
      </c>
      <c r="AZ70" s="614">
        <f t="shared" si="10"/>
      </c>
      <c r="BA70" s="614">
        <f t="shared" si="10"/>
      </c>
      <c r="BB70" s="614">
        <f t="shared" si="10"/>
      </c>
      <c r="BC70" s="614">
        <f t="shared" si="10"/>
      </c>
      <c r="BD70" s="614">
        <f t="shared" si="10"/>
      </c>
      <c r="BE70" s="614">
        <f t="shared" si="10"/>
      </c>
      <c r="BF70" s="193"/>
    </row>
    <row r="71" spans="2:58" ht="18" customHeight="1" thickBot="1" thickTop="1">
      <c r="B71" s="78"/>
      <c r="C71" s="624">
        <f>+IF(M$58&lt;=$G$54,M$58,"")</f>
      </c>
      <c r="D71" s="728"/>
      <c r="E71" s="729"/>
      <c r="F71" s="730"/>
      <c r="G71" s="613"/>
      <c r="H71" s="615"/>
      <c r="I71" s="615"/>
      <c r="J71" s="615"/>
      <c r="K71" s="615"/>
      <c r="L71" s="615"/>
      <c r="M71" s="614">
        <f aca="true" t="shared" si="15" ref="M71:AC71">IF(ISERROR($F71*$E71*EXP(-$F71*(M$58-$C71+0.5))*$D71),"",$F71*$E71*EXP(-$F71*(M$58-$C71+0.5))*$D71)</f>
      </c>
      <c r="N71" s="614">
        <f t="shared" si="15"/>
      </c>
      <c r="O71" s="614">
        <f t="shared" si="15"/>
      </c>
      <c r="P71" s="614">
        <f t="shared" si="15"/>
      </c>
      <c r="Q71" s="614">
        <f t="shared" si="15"/>
      </c>
      <c r="R71" s="614">
        <f t="shared" si="15"/>
      </c>
      <c r="S71" s="614">
        <f t="shared" si="15"/>
      </c>
      <c r="T71" s="614">
        <f t="shared" si="15"/>
      </c>
      <c r="U71" s="614">
        <f t="shared" si="15"/>
      </c>
      <c r="V71" s="614">
        <f t="shared" si="15"/>
      </c>
      <c r="W71" s="614">
        <f t="shared" si="15"/>
      </c>
      <c r="X71" s="614">
        <f t="shared" si="15"/>
      </c>
      <c r="Y71" s="614">
        <f t="shared" si="15"/>
      </c>
      <c r="Z71" s="614">
        <f t="shared" si="15"/>
      </c>
      <c r="AA71" s="614">
        <f t="shared" si="15"/>
      </c>
      <c r="AB71" s="614">
        <f t="shared" si="15"/>
      </c>
      <c r="AC71" s="614">
        <f t="shared" si="15"/>
      </c>
      <c r="AD71" s="614">
        <f t="shared" si="12"/>
      </c>
      <c r="AE71" s="614">
        <f t="shared" si="12"/>
      </c>
      <c r="AF71" s="614">
        <f t="shared" si="12"/>
      </c>
      <c r="AG71" s="614">
        <f t="shared" si="12"/>
      </c>
      <c r="AH71" s="614">
        <f t="shared" si="12"/>
      </c>
      <c r="AI71" s="614">
        <f t="shared" si="12"/>
      </c>
      <c r="AJ71" s="614">
        <f t="shared" si="12"/>
      </c>
      <c r="AK71" s="614">
        <f t="shared" si="12"/>
      </c>
      <c r="AL71" s="614">
        <f t="shared" si="9"/>
      </c>
      <c r="AM71" s="614">
        <f t="shared" si="9"/>
      </c>
      <c r="AN71" s="614">
        <f t="shared" si="9"/>
      </c>
      <c r="AO71" s="614">
        <f t="shared" si="9"/>
      </c>
      <c r="AP71" s="614">
        <f t="shared" si="9"/>
      </c>
      <c r="AQ71" s="614">
        <f t="shared" si="9"/>
      </c>
      <c r="AR71" s="614">
        <f t="shared" si="9"/>
      </c>
      <c r="AS71" s="614">
        <f t="shared" si="9"/>
      </c>
      <c r="AT71" s="614">
        <f t="shared" si="9"/>
      </c>
      <c r="AU71" s="614">
        <f t="shared" si="9"/>
      </c>
      <c r="AV71" s="614">
        <f t="shared" si="9"/>
      </c>
      <c r="AW71" s="614">
        <f t="shared" si="10"/>
      </c>
      <c r="AX71" s="614">
        <f t="shared" si="10"/>
      </c>
      <c r="AY71" s="614">
        <f t="shared" si="10"/>
      </c>
      <c r="AZ71" s="614">
        <f t="shared" si="10"/>
      </c>
      <c r="BA71" s="614">
        <f t="shared" si="10"/>
      </c>
      <c r="BB71" s="614">
        <f t="shared" si="10"/>
      </c>
      <c r="BC71" s="614">
        <f t="shared" si="10"/>
      </c>
      <c r="BD71" s="614">
        <f t="shared" si="10"/>
      </c>
      <c r="BE71" s="614">
        <f t="shared" si="10"/>
      </c>
      <c r="BF71" s="193"/>
    </row>
    <row r="72" spans="2:58" ht="16.5" thickBot="1" thickTop="1">
      <c r="B72" s="78"/>
      <c r="C72" s="624">
        <f>+IF(N$58&lt;=$G$54,N$58,"")</f>
      </c>
      <c r="D72" s="728"/>
      <c r="E72" s="729"/>
      <c r="F72" s="730"/>
      <c r="G72" s="613"/>
      <c r="H72" s="615"/>
      <c r="I72" s="615"/>
      <c r="J72" s="615"/>
      <c r="K72" s="615"/>
      <c r="L72" s="615"/>
      <c r="M72" s="615"/>
      <c r="N72" s="614">
        <f aca="true" t="shared" si="16" ref="N72:AC72">IF(ISERROR($F72*$E72*EXP(-$F72*(N$58-$C72+0.5))*$D72),"",$F72*$E72*EXP(-$F72*(N$58-$C72+0.5))*$D72)</f>
      </c>
      <c r="O72" s="614">
        <f t="shared" si="16"/>
      </c>
      <c r="P72" s="614">
        <f t="shared" si="16"/>
      </c>
      <c r="Q72" s="614">
        <f t="shared" si="16"/>
      </c>
      <c r="R72" s="614">
        <f t="shared" si="16"/>
      </c>
      <c r="S72" s="614">
        <f t="shared" si="16"/>
      </c>
      <c r="T72" s="614">
        <f t="shared" si="16"/>
      </c>
      <c r="U72" s="614">
        <f t="shared" si="16"/>
      </c>
      <c r="V72" s="614">
        <f t="shared" si="16"/>
      </c>
      <c r="W72" s="614">
        <f t="shared" si="16"/>
      </c>
      <c r="X72" s="614">
        <f t="shared" si="16"/>
      </c>
      <c r="Y72" s="614">
        <f t="shared" si="16"/>
      </c>
      <c r="Z72" s="614">
        <f t="shared" si="16"/>
      </c>
      <c r="AA72" s="614">
        <f t="shared" si="16"/>
      </c>
      <c r="AB72" s="614">
        <f t="shared" si="16"/>
      </c>
      <c r="AC72" s="614">
        <f t="shared" si="16"/>
      </c>
      <c r="AD72" s="614">
        <f t="shared" si="12"/>
      </c>
      <c r="AE72" s="614">
        <f t="shared" si="12"/>
      </c>
      <c r="AF72" s="614">
        <f t="shared" si="12"/>
      </c>
      <c r="AG72" s="614">
        <f t="shared" si="12"/>
      </c>
      <c r="AH72" s="614">
        <f t="shared" si="12"/>
      </c>
      <c r="AI72" s="614">
        <f t="shared" si="12"/>
      </c>
      <c r="AJ72" s="614">
        <f t="shared" si="12"/>
      </c>
      <c r="AK72" s="614">
        <f t="shared" si="12"/>
      </c>
      <c r="AL72" s="614">
        <f t="shared" si="9"/>
      </c>
      <c r="AM72" s="614">
        <f t="shared" si="9"/>
      </c>
      <c r="AN72" s="614">
        <f t="shared" si="9"/>
      </c>
      <c r="AO72" s="614">
        <f t="shared" si="9"/>
      </c>
      <c r="AP72" s="614">
        <f t="shared" si="9"/>
      </c>
      <c r="AQ72" s="614">
        <f t="shared" si="9"/>
      </c>
      <c r="AR72" s="614">
        <f t="shared" si="9"/>
      </c>
      <c r="AS72" s="614">
        <f t="shared" si="9"/>
      </c>
      <c r="AT72" s="614">
        <f t="shared" si="9"/>
      </c>
      <c r="AU72" s="614">
        <f t="shared" si="9"/>
      </c>
      <c r="AV72" s="614">
        <f t="shared" si="9"/>
      </c>
      <c r="AW72" s="614">
        <f t="shared" si="10"/>
      </c>
      <c r="AX72" s="614">
        <f t="shared" si="10"/>
      </c>
      <c r="AY72" s="614">
        <f t="shared" si="10"/>
      </c>
      <c r="AZ72" s="614">
        <f t="shared" si="10"/>
      </c>
      <c r="BA72" s="614">
        <f t="shared" si="10"/>
      </c>
      <c r="BB72" s="614">
        <f t="shared" si="10"/>
      </c>
      <c r="BC72" s="614">
        <f t="shared" si="10"/>
      </c>
      <c r="BD72" s="614">
        <f t="shared" si="10"/>
      </c>
      <c r="BE72" s="614">
        <f t="shared" si="10"/>
      </c>
      <c r="BF72" s="193"/>
    </row>
    <row r="73" spans="2:58" ht="16.5" thickBot="1" thickTop="1">
      <c r="B73" s="617"/>
      <c r="C73" s="624">
        <f>+IF(O$58&lt;=$G$54,O$58,"")</f>
      </c>
      <c r="D73" s="728"/>
      <c r="E73" s="729"/>
      <c r="F73" s="730"/>
      <c r="G73" s="613"/>
      <c r="H73" s="615"/>
      <c r="I73" s="615"/>
      <c r="J73" s="615"/>
      <c r="K73" s="615"/>
      <c r="L73" s="615"/>
      <c r="M73" s="615"/>
      <c r="N73" s="615"/>
      <c r="O73" s="614">
        <f aca="true" t="shared" si="17" ref="O73:AC73">IF(ISERROR($F73*$E73*EXP(-$F73*(O$58-$C73+0.5))*$D73),"",$F73*$E73*EXP(-$F73*(O$58-$C73+0.5))*$D73)</f>
      </c>
      <c r="P73" s="614">
        <f t="shared" si="17"/>
      </c>
      <c r="Q73" s="614">
        <f t="shared" si="17"/>
      </c>
      <c r="R73" s="614">
        <f t="shared" si="17"/>
      </c>
      <c r="S73" s="614">
        <f t="shared" si="17"/>
      </c>
      <c r="T73" s="614">
        <f t="shared" si="17"/>
      </c>
      <c r="U73" s="614">
        <f t="shared" si="17"/>
      </c>
      <c r="V73" s="614">
        <f t="shared" si="17"/>
      </c>
      <c r="W73" s="614">
        <f t="shared" si="17"/>
      </c>
      <c r="X73" s="614">
        <f t="shared" si="17"/>
      </c>
      <c r="Y73" s="614">
        <f t="shared" si="17"/>
      </c>
      <c r="Z73" s="614">
        <f t="shared" si="17"/>
      </c>
      <c r="AA73" s="614">
        <f t="shared" si="17"/>
      </c>
      <c r="AB73" s="614">
        <f t="shared" si="17"/>
      </c>
      <c r="AC73" s="614">
        <f t="shared" si="17"/>
      </c>
      <c r="AD73" s="614">
        <f t="shared" si="12"/>
      </c>
      <c r="AE73" s="614">
        <f t="shared" si="12"/>
      </c>
      <c r="AF73" s="614">
        <f t="shared" si="12"/>
      </c>
      <c r="AG73" s="614">
        <f t="shared" si="12"/>
      </c>
      <c r="AH73" s="614">
        <f t="shared" si="12"/>
      </c>
      <c r="AI73" s="614">
        <f t="shared" si="12"/>
      </c>
      <c r="AJ73" s="614">
        <f t="shared" si="12"/>
      </c>
      <c r="AK73" s="614">
        <f t="shared" si="12"/>
      </c>
      <c r="AL73" s="614">
        <f t="shared" si="9"/>
      </c>
      <c r="AM73" s="614">
        <f t="shared" si="9"/>
      </c>
      <c r="AN73" s="614">
        <f t="shared" si="9"/>
      </c>
      <c r="AO73" s="614">
        <f t="shared" si="9"/>
      </c>
      <c r="AP73" s="614">
        <f t="shared" si="9"/>
      </c>
      <c r="AQ73" s="614">
        <f t="shared" si="9"/>
      </c>
      <c r="AR73" s="614">
        <f t="shared" si="9"/>
      </c>
      <c r="AS73" s="614">
        <f t="shared" si="9"/>
      </c>
      <c r="AT73" s="614">
        <f t="shared" si="9"/>
      </c>
      <c r="AU73" s="614">
        <f t="shared" si="9"/>
      </c>
      <c r="AV73" s="614">
        <f t="shared" si="9"/>
      </c>
      <c r="AW73" s="614">
        <f t="shared" si="10"/>
      </c>
      <c r="AX73" s="614">
        <f t="shared" si="10"/>
      </c>
      <c r="AY73" s="614">
        <f t="shared" si="10"/>
      </c>
      <c r="AZ73" s="614">
        <f t="shared" si="10"/>
      </c>
      <c r="BA73" s="614">
        <f t="shared" si="10"/>
      </c>
      <c r="BB73" s="614">
        <f t="shared" si="10"/>
      </c>
      <c r="BC73" s="614">
        <f t="shared" si="10"/>
      </c>
      <c r="BD73" s="614">
        <f t="shared" si="10"/>
      </c>
      <c r="BE73" s="614">
        <f t="shared" si="10"/>
      </c>
      <c r="BF73" s="193"/>
    </row>
    <row r="74" spans="2:58" ht="16.5" thickBot="1" thickTop="1">
      <c r="B74" s="57"/>
      <c r="C74" s="624">
        <f>+IF(P$58&lt;=$G$54,P$58,"")</f>
      </c>
      <c r="D74" s="728"/>
      <c r="E74" s="729"/>
      <c r="F74" s="730"/>
      <c r="G74" s="613"/>
      <c r="H74" s="615"/>
      <c r="I74" s="615"/>
      <c r="J74" s="615"/>
      <c r="K74" s="615"/>
      <c r="L74" s="615"/>
      <c r="M74" s="615"/>
      <c r="N74" s="615"/>
      <c r="O74" s="615"/>
      <c r="P74" s="614">
        <f aca="true" t="shared" si="18" ref="P74:AC74">IF(ISERROR($F74*$E74*EXP(-$F74*(P$58-$C74+0.5))*$D74),"",$F74*$E74*EXP(-$F74*(P$58-$C74+0.5))*$D74)</f>
      </c>
      <c r="Q74" s="614">
        <f t="shared" si="18"/>
      </c>
      <c r="R74" s="614">
        <f t="shared" si="18"/>
      </c>
      <c r="S74" s="614">
        <f t="shared" si="18"/>
      </c>
      <c r="T74" s="614">
        <f t="shared" si="18"/>
      </c>
      <c r="U74" s="614">
        <f t="shared" si="18"/>
      </c>
      <c r="V74" s="614">
        <f t="shared" si="18"/>
      </c>
      <c r="W74" s="614">
        <f t="shared" si="18"/>
      </c>
      <c r="X74" s="614">
        <f t="shared" si="18"/>
      </c>
      <c r="Y74" s="614">
        <f t="shared" si="18"/>
      </c>
      <c r="Z74" s="614">
        <f t="shared" si="18"/>
      </c>
      <c r="AA74" s="614">
        <f t="shared" si="18"/>
      </c>
      <c r="AB74" s="614">
        <f t="shared" si="18"/>
      </c>
      <c r="AC74" s="614">
        <f t="shared" si="18"/>
      </c>
      <c r="AD74" s="614">
        <f t="shared" si="12"/>
      </c>
      <c r="AE74" s="614">
        <f t="shared" si="12"/>
      </c>
      <c r="AF74" s="614">
        <f t="shared" si="12"/>
      </c>
      <c r="AG74" s="614">
        <f t="shared" si="12"/>
      </c>
      <c r="AH74" s="614">
        <f t="shared" si="12"/>
      </c>
      <c r="AI74" s="614">
        <f t="shared" si="12"/>
      </c>
      <c r="AJ74" s="614">
        <f t="shared" si="12"/>
      </c>
      <c r="AK74" s="614">
        <f t="shared" si="12"/>
      </c>
      <c r="AL74" s="614">
        <f t="shared" si="9"/>
      </c>
      <c r="AM74" s="614">
        <f t="shared" si="9"/>
      </c>
      <c r="AN74" s="614">
        <f t="shared" si="9"/>
      </c>
      <c r="AO74" s="614">
        <f t="shared" si="9"/>
      </c>
      <c r="AP74" s="614">
        <f t="shared" si="9"/>
      </c>
      <c r="AQ74" s="614">
        <f t="shared" si="9"/>
      </c>
      <c r="AR74" s="614">
        <f t="shared" si="9"/>
      </c>
      <c r="AS74" s="614">
        <f t="shared" si="9"/>
      </c>
      <c r="AT74" s="614">
        <f t="shared" si="9"/>
      </c>
      <c r="AU74" s="614">
        <f t="shared" si="9"/>
      </c>
      <c r="AV74" s="614">
        <f t="shared" si="9"/>
      </c>
      <c r="AW74" s="614">
        <f t="shared" si="10"/>
      </c>
      <c r="AX74" s="614">
        <f t="shared" si="10"/>
      </c>
      <c r="AY74" s="614">
        <f t="shared" si="10"/>
      </c>
      <c r="AZ74" s="614">
        <f t="shared" si="10"/>
      </c>
      <c r="BA74" s="614">
        <f t="shared" si="10"/>
      </c>
      <c r="BB74" s="614">
        <f t="shared" si="10"/>
      </c>
      <c r="BC74" s="614">
        <f t="shared" si="10"/>
      </c>
      <c r="BD74" s="614">
        <f t="shared" si="10"/>
      </c>
      <c r="BE74" s="614">
        <f t="shared" si="10"/>
      </c>
      <c r="BF74" s="193"/>
    </row>
    <row r="75" spans="2:58" ht="16.5" thickBot="1" thickTop="1">
      <c r="B75" s="57"/>
      <c r="C75" s="624">
        <f>+IF(Q$58&lt;=$G$54,Q$58,"")</f>
      </c>
      <c r="D75" s="728"/>
      <c r="E75" s="729"/>
      <c r="F75" s="730"/>
      <c r="G75" s="613"/>
      <c r="H75" s="615"/>
      <c r="I75" s="615"/>
      <c r="J75" s="615"/>
      <c r="K75" s="615"/>
      <c r="L75" s="615"/>
      <c r="M75" s="615"/>
      <c r="N75" s="615"/>
      <c r="O75" s="615"/>
      <c r="P75" s="615"/>
      <c r="Q75" s="614">
        <f aca="true" t="shared" si="19" ref="Q75:AC75">IF(ISERROR($F75*$E75*EXP(-$F75*(Q$58-$C75+0.5))*$D75),"",$F75*$E75*EXP(-$F75*(Q$58-$C75+0.5))*$D75)</f>
      </c>
      <c r="R75" s="614">
        <f t="shared" si="19"/>
      </c>
      <c r="S75" s="614">
        <f t="shared" si="19"/>
      </c>
      <c r="T75" s="614">
        <f t="shared" si="19"/>
      </c>
      <c r="U75" s="614">
        <f t="shared" si="19"/>
      </c>
      <c r="V75" s="614">
        <f t="shared" si="19"/>
      </c>
      <c r="W75" s="614">
        <f t="shared" si="19"/>
      </c>
      <c r="X75" s="614">
        <f t="shared" si="19"/>
      </c>
      <c r="Y75" s="614">
        <f t="shared" si="19"/>
      </c>
      <c r="Z75" s="614">
        <f t="shared" si="19"/>
      </c>
      <c r="AA75" s="614">
        <f t="shared" si="19"/>
      </c>
      <c r="AB75" s="614">
        <f t="shared" si="19"/>
      </c>
      <c r="AC75" s="614">
        <f t="shared" si="19"/>
      </c>
      <c r="AD75" s="614">
        <f t="shared" si="12"/>
      </c>
      <c r="AE75" s="614">
        <f t="shared" si="12"/>
      </c>
      <c r="AF75" s="614">
        <f t="shared" si="12"/>
      </c>
      <c r="AG75" s="614">
        <f t="shared" si="12"/>
      </c>
      <c r="AH75" s="614">
        <f t="shared" si="12"/>
      </c>
      <c r="AI75" s="614">
        <f t="shared" si="12"/>
      </c>
      <c r="AJ75" s="614">
        <f t="shared" si="12"/>
      </c>
      <c r="AK75" s="614">
        <f t="shared" si="12"/>
      </c>
      <c r="AL75" s="614">
        <f t="shared" si="9"/>
      </c>
      <c r="AM75" s="614">
        <f t="shared" si="9"/>
      </c>
      <c r="AN75" s="614">
        <f t="shared" si="9"/>
      </c>
      <c r="AO75" s="614">
        <f t="shared" si="9"/>
      </c>
      <c r="AP75" s="614">
        <f t="shared" si="9"/>
      </c>
      <c r="AQ75" s="614">
        <f t="shared" si="9"/>
      </c>
      <c r="AR75" s="614">
        <f t="shared" si="9"/>
      </c>
      <c r="AS75" s="614">
        <f t="shared" si="9"/>
      </c>
      <c r="AT75" s="614">
        <f t="shared" si="9"/>
      </c>
      <c r="AU75" s="614">
        <f t="shared" si="9"/>
      </c>
      <c r="AV75" s="614">
        <f t="shared" si="9"/>
      </c>
      <c r="AW75" s="614">
        <f t="shared" si="10"/>
      </c>
      <c r="AX75" s="614">
        <f t="shared" si="10"/>
      </c>
      <c r="AY75" s="614">
        <f t="shared" si="10"/>
      </c>
      <c r="AZ75" s="614">
        <f t="shared" si="10"/>
      </c>
      <c r="BA75" s="614">
        <f t="shared" si="10"/>
      </c>
      <c r="BB75" s="614">
        <f t="shared" si="10"/>
      </c>
      <c r="BC75" s="614">
        <f t="shared" si="10"/>
      </c>
      <c r="BD75" s="614">
        <f t="shared" si="10"/>
      </c>
      <c r="BE75" s="614">
        <f t="shared" si="10"/>
      </c>
      <c r="BF75" s="193"/>
    </row>
    <row r="76" spans="2:58" ht="16.5" thickBot="1" thickTop="1">
      <c r="B76" s="57"/>
      <c r="C76" s="624">
        <f>+IF(R$58&lt;=$G$54,R$58,"")</f>
      </c>
      <c r="D76" s="728"/>
      <c r="E76" s="729"/>
      <c r="F76" s="730"/>
      <c r="G76" s="613"/>
      <c r="H76" s="615"/>
      <c r="I76" s="615"/>
      <c r="J76" s="615"/>
      <c r="K76" s="615"/>
      <c r="L76" s="615"/>
      <c r="M76" s="615"/>
      <c r="N76" s="615"/>
      <c r="O76" s="615"/>
      <c r="P76" s="615"/>
      <c r="Q76" s="615"/>
      <c r="R76" s="614">
        <f aca="true" t="shared" si="20" ref="R76:AC76">IF(ISERROR($F76*$E76*EXP(-$F76*(R$58-$C76+0.5))*$D76),"",$F76*$E76*EXP(-$F76*(R$58-$C76+0.5))*$D76)</f>
      </c>
      <c r="S76" s="614">
        <f t="shared" si="20"/>
      </c>
      <c r="T76" s="614">
        <f t="shared" si="20"/>
      </c>
      <c r="U76" s="614">
        <f t="shared" si="20"/>
      </c>
      <c r="V76" s="614">
        <f t="shared" si="20"/>
      </c>
      <c r="W76" s="614">
        <f t="shared" si="20"/>
      </c>
      <c r="X76" s="614">
        <f t="shared" si="20"/>
      </c>
      <c r="Y76" s="614">
        <f t="shared" si="20"/>
      </c>
      <c r="Z76" s="614">
        <f t="shared" si="20"/>
      </c>
      <c r="AA76" s="614">
        <f t="shared" si="20"/>
      </c>
      <c r="AB76" s="614">
        <f t="shared" si="20"/>
      </c>
      <c r="AC76" s="614">
        <f t="shared" si="20"/>
      </c>
      <c r="AD76" s="614">
        <f t="shared" si="12"/>
      </c>
      <c r="AE76" s="614">
        <f t="shared" si="12"/>
      </c>
      <c r="AF76" s="614">
        <f t="shared" si="12"/>
      </c>
      <c r="AG76" s="614">
        <f t="shared" si="12"/>
      </c>
      <c r="AH76" s="614">
        <f t="shared" si="12"/>
      </c>
      <c r="AI76" s="614">
        <f t="shared" si="12"/>
      </c>
      <c r="AJ76" s="614">
        <f t="shared" si="12"/>
      </c>
      <c r="AK76" s="614">
        <f t="shared" si="12"/>
      </c>
      <c r="AL76" s="614">
        <f t="shared" si="9"/>
      </c>
      <c r="AM76" s="614">
        <f t="shared" si="9"/>
      </c>
      <c r="AN76" s="614">
        <f t="shared" si="9"/>
      </c>
      <c r="AO76" s="614">
        <f t="shared" si="9"/>
      </c>
      <c r="AP76" s="614">
        <f t="shared" si="9"/>
      </c>
      <c r="AQ76" s="614">
        <f t="shared" si="9"/>
      </c>
      <c r="AR76" s="614">
        <f t="shared" si="9"/>
      </c>
      <c r="AS76" s="614">
        <f t="shared" si="9"/>
      </c>
      <c r="AT76" s="614">
        <f t="shared" si="9"/>
      </c>
      <c r="AU76" s="614">
        <f t="shared" si="9"/>
      </c>
      <c r="AV76" s="614">
        <f t="shared" si="9"/>
      </c>
      <c r="AW76" s="614">
        <f t="shared" si="10"/>
      </c>
      <c r="AX76" s="614">
        <f t="shared" si="10"/>
      </c>
      <c r="AY76" s="614">
        <f t="shared" si="10"/>
      </c>
      <c r="AZ76" s="614">
        <f t="shared" si="10"/>
      </c>
      <c r="BA76" s="614">
        <f t="shared" si="10"/>
      </c>
      <c r="BB76" s="614">
        <f t="shared" si="10"/>
      </c>
      <c r="BC76" s="614">
        <f t="shared" si="10"/>
      </c>
      <c r="BD76" s="614">
        <f t="shared" si="10"/>
      </c>
      <c r="BE76" s="614">
        <f t="shared" si="10"/>
      </c>
      <c r="BF76" s="193"/>
    </row>
    <row r="77" spans="2:58" ht="16.5" thickBot="1" thickTop="1">
      <c r="B77" s="57"/>
      <c r="C77" s="624">
        <f>+IF(S$58&lt;=$G$54,S$58,"")</f>
      </c>
      <c r="D77" s="728"/>
      <c r="E77" s="729"/>
      <c r="F77" s="730"/>
      <c r="G77" s="613"/>
      <c r="H77" s="615"/>
      <c r="I77" s="615"/>
      <c r="J77" s="615"/>
      <c r="K77" s="615"/>
      <c r="L77" s="615"/>
      <c r="M77" s="615"/>
      <c r="N77" s="615"/>
      <c r="O77" s="615"/>
      <c r="P77" s="615"/>
      <c r="Q77" s="615"/>
      <c r="R77" s="615"/>
      <c r="S77" s="614">
        <f aca="true" t="shared" si="21" ref="S77:AC77">IF(ISERROR($F77*$E77*EXP(-$F77*(S$58-$C77+0.5))*$D77),"",$F77*$E77*EXP(-$F77*(S$58-$C77+0.5))*$D77)</f>
      </c>
      <c r="T77" s="614">
        <f t="shared" si="21"/>
      </c>
      <c r="U77" s="614">
        <f t="shared" si="21"/>
      </c>
      <c r="V77" s="614">
        <f t="shared" si="21"/>
      </c>
      <c r="W77" s="614">
        <f t="shared" si="21"/>
      </c>
      <c r="X77" s="614">
        <f t="shared" si="21"/>
      </c>
      <c r="Y77" s="614">
        <f t="shared" si="21"/>
      </c>
      <c r="Z77" s="614">
        <f t="shared" si="21"/>
      </c>
      <c r="AA77" s="614">
        <f t="shared" si="21"/>
      </c>
      <c r="AB77" s="614">
        <f t="shared" si="21"/>
      </c>
      <c r="AC77" s="614">
        <f t="shared" si="21"/>
      </c>
      <c r="AD77" s="614">
        <f t="shared" si="12"/>
      </c>
      <c r="AE77" s="614">
        <f t="shared" si="12"/>
      </c>
      <c r="AF77" s="614">
        <f t="shared" si="12"/>
      </c>
      <c r="AG77" s="614">
        <f t="shared" si="12"/>
      </c>
      <c r="AH77" s="614">
        <f t="shared" si="12"/>
      </c>
      <c r="AI77" s="614">
        <f t="shared" si="12"/>
      </c>
      <c r="AJ77" s="614">
        <f t="shared" si="12"/>
      </c>
      <c r="AK77" s="614">
        <f t="shared" si="12"/>
      </c>
      <c r="AL77" s="614">
        <f t="shared" si="9"/>
      </c>
      <c r="AM77" s="614">
        <f t="shared" si="9"/>
      </c>
      <c r="AN77" s="614">
        <f t="shared" si="9"/>
      </c>
      <c r="AO77" s="614">
        <f t="shared" si="9"/>
      </c>
      <c r="AP77" s="614">
        <f t="shared" si="9"/>
      </c>
      <c r="AQ77" s="614">
        <f t="shared" si="9"/>
      </c>
      <c r="AR77" s="614">
        <f t="shared" si="9"/>
      </c>
      <c r="AS77" s="614">
        <f t="shared" si="9"/>
      </c>
      <c r="AT77" s="614">
        <f t="shared" si="9"/>
      </c>
      <c r="AU77" s="614">
        <f t="shared" si="9"/>
      </c>
      <c r="AV77" s="614">
        <f t="shared" si="9"/>
      </c>
      <c r="AW77" s="614">
        <f t="shared" si="10"/>
      </c>
      <c r="AX77" s="614">
        <f t="shared" si="10"/>
      </c>
      <c r="AY77" s="614">
        <f t="shared" si="10"/>
      </c>
      <c r="AZ77" s="614">
        <f t="shared" si="10"/>
      </c>
      <c r="BA77" s="614">
        <f t="shared" si="10"/>
      </c>
      <c r="BB77" s="614">
        <f t="shared" si="10"/>
      </c>
      <c r="BC77" s="614">
        <f t="shared" si="10"/>
      </c>
      <c r="BD77" s="614">
        <f t="shared" si="10"/>
      </c>
      <c r="BE77" s="614">
        <f t="shared" si="10"/>
      </c>
      <c r="BF77" s="193"/>
    </row>
    <row r="78" spans="2:58" ht="16.5" thickBot="1" thickTop="1">
      <c r="B78" s="57"/>
      <c r="C78" s="624">
        <f>+IF(T$58&lt;=$G$54,T$58,"")</f>
      </c>
      <c r="D78" s="728"/>
      <c r="E78" s="729"/>
      <c r="F78" s="730"/>
      <c r="G78" s="613"/>
      <c r="H78" s="615"/>
      <c r="I78" s="615"/>
      <c r="J78" s="615"/>
      <c r="K78" s="615"/>
      <c r="L78" s="615"/>
      <c r="M78" s="615"/>
      <c r="N78" s="615"/>
      <c r="O78" s="615"/>
      <c r="P78" s="615"/>
      <c r="Q78" s="615"/>
      <c r="R78" s="615"/>
      <c r="S78" s="615"/>
      <c r="T78" s="614">
        <f aca="true" t="shared" si="22" ref="T78:AB78">IF(ISERROR($F78*$E78*EXP(-$F78*(T$58-$C78+0.5))*$D78),"",$F78*$E78*EXP(-$F78*(T$58-$C78+0.5))*$D78)</f>
      </c>
      <c r="U78" s="614">
        <f t="shared" si="22"/>
      </c>
      <c r="V78" s="614">
        <f t="shared" si="22"/>
      </c>
      <c r="W78" s="614">
        <f t="shared" si="22"/>
      </c>
      <c r="X78" s="614">
        <f t="shared" si="22"/>
      </c>
      <c r="Y78" s="614">
        <f t="shared" si="22"/>
      </c>
      <c r="Z78" s="614">
        <f t="shared" si="22"/>
      </c>
      <c r="AA78" s="614">
        <f t="shared" si="22"/>
      </c>
      <c r="AB78" s="614">
        <f t="shared" si="22"/>
      </c>
      <c r="AC78" s="614">
        <f aca="true" t="shared" si="23" ref="AC78:AC87">IF(ISERROR($F78*$E78*EXP(-$F78*(AC$58-$C78+0.5))*$D78),"",$F78*$E78*EXP(-$F78*(AC$58-$C78+0.5))*$D78)</f>
      </c>
      <c r="AD78" s="614">
        <f aca="true" t="shared" si="24" ref="AD78:AS93">IF(ISERROR($F78*$E78*EXP(-$F78*(AD$58-$C78+0.5))*$D78),"",$F78*$E78*EXP(-$F78*(AD$58-$C78+0.5))*$D78)</f>
      </c>
      <c r="AE78" s="614">
        <f t="shared" si="24"/>
      </c>
      <c r="AF78" s="614">
        <f t="shared" si="24"/>
      </c>
      <c r="AG78" s="614">
        <f t="shared" si="24"/>
      </c>
      <c r="AH78" s="614">
        <f t="shared" si="24"/>
      </c>
      <c r="AI78" s="614">
        <f t="shared" si="24"/>
      </c>
      <c r="AJ78" s="614">
        <f t="shared" si="24"/>
      </c>
      <c r="AK78" s="614">
        <f t="shared" si="24"/>
      </c>
      <c r="AL78" s="614">
        <f t="shared" si="9"/>
      </c>
      <c r="AM78" s="614">
        <f t="shared" si="9"/>
      </c>
      <c r="AN78" s="614">
        <f t="shared" si="9"/>
      </c>
      <c r="AO78" s="614">
        <f t="shared" si="9"/>
      </c>
      <c r="AP78" s="614">
        <f t="shared" si="9"/>
      </c>
      <c r="AQ78" s="614">
        <f t="shared" si="9"/>
      </c>
      <c r="AR78" s="614">
        <f t="shared" si="9"/>
      </c>
      <c r="AS78" s="614">
        <f t="shared" si="9"/>
      </c>
      <c r="AT78" s="614">
        <f t="shared" si="9"/>
      </c>
      <c r="AU78" s="614">
        <f t="shared" si="9"/>
      </c>
      <c r="AV78" s="614">
        <f t="shared" si="9"/>
      </c>
      <c r="AW78" s="614">
        <f t="shared" si="10"/>
      </c>
      <c r="AX78" s="614">
        <f t="shared" si="10"/>
      </c>
      <c r="AY78" s="614">
        <f t="shared" si="10"/>
      </c>
      <c r="AZ78" s="614">
        <f t="shared" si="10"/>
      </c>
      <c r="BA78" s="614">
        <f t="shared" si="10"/>
      </c>
      <c r="BB78" s="614">
        <f t="shared" si="10"/>
      </c>
      <c r="BC78" s="614">
        <f t="shared" si="10"/>
      </c>
      <c r="BD78" s="614">
        <f t="shared" si="10"/>
      </c>
      <c r="BE78" s="614">
        <f t="shared" si="10"/>
      </c>
      <c r="BF78" s="193"/>
    </row>
    <row r="79" spans="2:58" ht="16.5" thickBot="1" thickTop="1">
      <c r="B79" s="57"/>
      <c r="C79" s="624">
        <f>+IF(U$58&lt;=$G$54,U$58,"")</f>
      </c>
      <c r="D79" s="728"/>
      <c r="E79" s="729"/>
      <c r="F79" s="730"/>
      <c r="G79" s="613"/>
      <c r="H79" s="615"/>
      <c r="I79" s="615"/>
      <c r="J79" s="615"/>
      <c r="K79" s="615"/>
      <c r="L79" s="615"/>
      <c r="M79" s="615"/>
      <c r="N79" s="615"/>
      <c r="O79" s="615"/>
      <c r="P79" s="615"/>
      <c r="Q79" s="615"/>
      <c r="R79" s="615"/>
      <c r="S79" s="615"/>
      <c r="T79" s="615"/>
      <c r="U79" s="614">
        <f aca="true" t="shared" si="25" ref="U79:AB79">IF(ISERROR($F79*$E79*EXP(-$F79*(U$58-$C79+0.5))*$D79),"",$F79*$E79*EXP(-$F79*(U$58-$C79+0.5))*$D79)</f>
      </c>
      <c r="V79" s="614">
        <f t="shared" si="25"/>
      </c>
      <c r="W79" s="614">
        <f t="shared" si="25"/>
      </c>
      <c r="X79" s="614">
        <f t="shared" si="25"/>
      </c>
      <c r="Y79" s="614">
        <f t="shared" si="25"/>
      </c>
      <c r="Z79" s="614">
        <f t="shared" si="25"/>
      </c>
      <c r="AA79" s="614">
        <f t="shared" si="25"/>
      </c>
      <c r="AB79" s="614">
        <f t="shared" si="25"/>
      </c>
      <c r="AC79" s="614">
        <f t="shared" si="23"/>
      </c>
      <c r="AD79" s="614">
        <f t="shared" si="24"/>
      </c>
      <c r="AE79" s="614">
        <f t="shared" si="24"/>
      </c>
      <c r="AF79" s="614">
        <f t="shared" si="24"/>
      </c>
      <c r="AG79" s="614">
        <f t="shared" si="24"/>
      </c>
      <c r="AH79" s="614">
        <f t="shared" si="24"/>
      </c>
      <c r="AI79" s="614">
        <f t="shared" si="24"/>
      </c>
      <c r="AJ79" s="614">
        <f t="shared" si="24"/>
      </c>
      <c r="AK79" s="614">
        <f t="shared" si="24"/>
      </c>
      <c r="AL79" s="614">
        <f t="shared" si="9"/>
      </c>
      <c r="AM79" s="614">
        <f t="shared" si="9"/>
      </c>
      <c r="AN79" s="614">
        <f t="shared" si="9"/>
      </c>
      <c r="AO79" s="614">
        <f t="shared" si="9"/>
      </c>
      <c r="AP79" s="614">
        <f t="shared" si="9"/>
      </c>
      <c r="AQ79" s="614">
        <f t="shared" si="9"/>
      </c>
      <c r="AR79" s="614">
        <f t="shared" si="9"/>
      </c>
      <c r="AS79" s="614">
        <f t="shared" si="9"/>
      </c>
      <c r="AT79" s="614">
        <f t="shared" si="9"/>
      </c>
      <c r="AU79" s="614">
        <f t="shared" si="9"/>
      </c>
      <c r="AV79" s="614">
        <f t="shared" si="9"/>
      </c>
      <c r="AW79" s="614">
        <f t="shared" si="10"/>
      </c>
      <c r="AX79" s="614">
        <f t="shared" si="10"/>
      </c>
      <c r="AY79" s="614">
        <f t="shared" si="10"/>
      </c>
      <c r="AZ79" s="614">
        <f t="shared" si="10"/>
      </c>
      <c r="BA79" s="614">
        <f t="shared" si="10"/>
      </c>
      <c r="BB79" s="614">
        <f t="shared" si="10"/>
      </c>
      <c r="BC79" s="614">
        <f t="shared" si="10"/>
      </c>
      <c r="BD79" s="614">
        <f t="shared" si="10"/>
      </c>
      <c r="BE79" s="614">
        <f t="shared" si="10"/>
      </c>
      <c r="BF79" s="193"/>
    </row>
    <row r="80" spans="2:58" ht="16.5" thickBot="1" thickTop="1">
      <c r="B80" s="57"/>
      <c r="C80" s="624">
        <f>+IF(V$58&lt;=$G$54,V$58,"")</f>
      </c>
      <c r="D80" s="728"/>
      <c r="E80" s="729"/>
      <c r="F80" s="730"/>
      <c r="G80" s="613"/>
      <c r="H80" s="615"/>
      <c r="I80" s="615"/>
      <c r="J80" s="615"/>
      <c r="K80" s="615"/>
      <c r="L80" s="615"/>
      <c r="M80" s="615"/>
      <c r="N80" s="615"/>
      <c r="O80" s="615"/>
      <c r="P80" s="615"/>
      <c r="Q80" s="615"/>
      <c r="R80" s="615"/>
      <c r="S80" s="615"/>
      <c r="T80" s="615"/>
      <c r="U80" s="615"/>
      <c r="V80" s="614">
        <f aca="true" t="shared" si="26" ref="V80:AB80">IF(ISERROR($F80*$E80*EXP(-$F80*(V$58-$C80+0.5))*$D80),"",$F80*$E80*EXP(-$F80*(V$58-$C80+0.5))*$D80)</f>
      </c>
      <c r="W80" s="614">
        <f t="shared" si="26"/>
      </c>
      <c r="X80" s="614">
        <f t="shared" si="26"/>
      </c>
      <c r="Y80" s="614">
        <f t="shared" si="26"/>
      </c>
      <c r="Z80" s="614">
        <f t="shared" si="26"/>
      </c>
      <c r="AA80" s="614">
        <f t="shared" si="26"/>
      </c>
      <c r="AB80" s="614">
        <f t="shared" si="26"/>
      </c>
      <c r="AC80" s="614">
        <f t="shared" si="23"/>
      </c>
      <c r="AD80" s="614">
        <f t="shared" si="24"/>
      </c>
      <c r="AE80" s="614">
        <f t="shared" si="24"/>
      </c>
      <c r="AF80" s="614">
        <f t="shared" si="24"/>
      </c>
      <c r="AG80" s="614">
        <f t="shared" si="24"/>
      </c>
      <c r="AH80" s="614">
        <f t="shared" si="24"/>
      </c>
      <c r="AI80" s="614">
        <f t="shared" si="24"/>
      </c>
      <c r="AJ80" s="614">
        <f t="shared" si="24"/>
      </c>
      <c r="AK80" s="614">
        <f t="shared" si="24"/>
      </c>
      <c r="AL80" s="614">
        <f t="shared" si="9"/>
      </c>
      <c r="AM80" s="614">
        <f t="shared" si="9"/>
      </c>
      <c r="AN80" s="614">
        <f t="shared" si="9"/>
      </c>
      <c r="AO80" s="614">
        <f t="shared" si="9"/>
      </c>
      <c r="AP80" s="614">
        <f t="shared" si="9"/>
      </c>
      <c r="AQ80" s="614">
        <f t="shared" si="9"/>
      </c>
      <c r="AR80" s="614">
        <f t="shared" si="9"/>
      </c>
      <c r="AS80" s="614">
        <f t="shared" si="9"/>
      </c>
      <c r="AT80" s="614">
        <f t="shared" si="9"/>
      </c>
      <c r="AU80" s="614">
        <f t="shared" si="9"/>
      </c>
      <c r="AV80" s="614">
        <f t="shared" si="9"/>
      </c>
      <c r="AW80" s="614">
        <f t="shared" si="10"/>
      </c>
      <c r="AX80" s="614">
        <f t="shared" si="10"/>
      </c>
      <c r="AY80" s="614">
        <f t="shared" si="10"/>
      </c>
      <c r="AZ80" s="614">
        <f t="shared" si="10"/>
      </c>
      <c r="BA80" s="614">
        <f t="shared" si="10"/>
      </c>
      <c r="BB80" s="614">
        <f t="shared" si="10"/>
      </c>
      <c r="BC80" s="614">
        <f t="shared" si="10"/>
      </c>
      <c r="BD80" s="614">
        <f t="shared" si="10"/>
      </c>
      <c r="BE80" s="614">
        <f t="shared" si="10"/>
      </c>
      <c r="BF80" s="193"/>
    </row>
    <row r="81" spans="2:58" ht="16.5" thickBot="1" thickTop="1">
      <c r="B81" s="57"/>
      <c r="C81" s="624">
        <f>+IF(W$58&lt;=$G$54,W$58,"")</f>
      </c>
      <c r="D81" s="728"/>
      <c r="E81" s="729"/>
      <c r="F81" s="730"/>
      <c r="G81" s="613"/>
      <c r="H81" s="615"/>
      <c r="I81" s="615"/>
      <c r="J81" s="615"/>
      <c r="K81" s="615"/>
      <c r="L81" s="615"/>
      <c r="M81" s="615"/>
      <c r="N81" s="615"/>
      <c r="O81" s="615"/>
      <c r="P81" s="615"/>
      <c r="Q81" s="615"/>
      <c r="R81" s="615"/>
      <c r="S81" s="615"/>
      <c r="T81" s="615"/>
      <c r="U81" s="615"/>
      <c r="V81" s="615"/>
      <c r="W81" s="614">
        <f aca="true" t="shared" si="27" ref="W81:AB81">IF(ISERROR($F81*$E81*EXP(-$F81*(W$58-$C81+0.5))*$D81),"",$F81*$E81*EXP(-$F81*(W$58-$C81+0.5))*$D81)</f>
      </c>
      <c r="X81" s="614">
        <f t="shared" si="27"/>
      </c>
      <c r="Y81" s="614">
        <f t="shared" si="27"/>
      </c>
      <c r="Z81" s="614">
        <f t="shared" si="27"/>
      </c>
      <c r="AA81" s="614">
        <f t="shared" si="27"/>
      </c>
      <c r="AB81" s="614">
        <f t="shared" si="27"/>
      </c>
      <c r="AC81" s="614">
        <f t="shared" si="23"/>
      </c>
      <c r="AD81" s="614">
        <f t="shared" si="24"/>
      </c>
      <c r="AE81" s="614">
        <f t="shared" si="24"/>
      </c>
      <c r="AF81" s="614">
        <f t="shared" si="24"/>
      </c>
      <c r="AG81" s="614">
        <f t="shared" si="24"/>
      </c>
      <c r="AH81" s="614">
        <f t="shared" si="24"/>
      </c>
      <c r="AI81" s="614">
        <f t="shared" si="24"/>
      </c>
      <c r="AJ81" s="614">
        <f t="shared" si="24"/>
      </c>
      <c r="AK81" s="614">
        <f t="shared" si="24"/>
      </c>
      <c r="AL81" s="614">
        <f t="shared" si="9"/>
      </c>
      <c r="AM81" s="614">
        <f t="shared" si="9"/>
      </c>
      <c r="AN81" s="614">
        <f t="shared" si="9"/>
      </c>
      <c r="AO81" s="614">
        <f t="shared" si="9"/>
      </c>
      <c r="AP81" s="614">
        <f t="shared" si="9"/>
      </c>
      <c r="AQ81" s="614">
        <f t="shared" si="9"/>
      </c>
      <c r="AR81" s="614">
        <f t="shared" si="9"/>
      </c>
      <c r="AS81" s="614">
        <f t="shared" si="9"/>
      </c>
      <c r="AT81" s="614">
        <f t="shared" si="9"/>
      </c>
      <c r="AU81" s="614">
        <f t="shared" si="9"/>
      </c>
      <c r="AV81" s="614">
        <f t="shared" si="9"/>
      </c>
      <c r="AW81" s="614">
        <f t="shared" si="10"/>
      </c>
      <c r="AX81" s="614">
        <f t="shared" si="10"/>
      </c>
      <c r="AY81" s="614">
        <f t="shared" si="10"/>
      </c>
      <c r="AZ81" s="614">
        <f t="shared" si="10"/>
      </c>
      <c r="BA81" s="614">
        <f t="shared" si="10"/>
      </c>
      <c r="BB81" s="614">
        <f t="shared" si="10"/>
      </c>
      <c r="BC81" s="614">
        <f t="shared" si="10"/>
      </c>
      <c r="BD81" s="614">
        <f t="shared" si="10"/>
      </c>
      <c r="BE81" s="614">
        <f t="shared" si="10"/>
      </c>
      <c r="BF81" s="193"/>
    </row>
    <row r="82" spans="2:58" ht="16.5" thickBot="1" thickTop="1">
      <c r="B82" s="57"/>
      <c r="C82" s="624">
        <f>+IF(X$58&lt;=$G$54,X$58,"")</f>
      </c>
      <c r="D82" s="728"/>
      <c r="E82" s="729"/>
      <c r="F82" s="730"/>
      <c r="G82" s="613"/>
      <c r="H82" s="615"/>
      <c r="I82" s="615"/>
      <c r="J82" s="615"/>
      <c r="K82" s="615"/>
      <c r="L82" s="615"/>
      <c r="M82" s="615"/>
      <c r="N82" s="615"/>
      <c r="O82" s="615"/>
      <c r="P82" s="615"/>
      <c r="Q82" s="615"/>
      <c r="R82" s="615"/>
      <c r="S82" s="615"/>
      <c r="T82" s="615"/>
      <c r="U82" s="615"/>
      <c r="V82" s="615"/>
      <c r="W82" s="615"/>
      <c r="X82" s="614">
        <f aca="true" t="shared" si="28" ref="X82:AB86">IF(ISERROR($F82*$E82*EXP(-$F82*(X$58-$C82+0.5))*$D82),"",$F82*$E82*EXP(-$F82*(X$58-$C82+0.5))*$D82)</f>
      </c>
      <c r="Y82" s="614">
        <f t="shared" si="28"/>
      </c>
      <c r="Z82" s="614">
        <f t="shared" si="28"/>
      </c>
      <c r="AA82" s="614">
        <f t="shared" si="28"/>
      </c>
      <c r="AB82" s="614">
        <f t="shared" si="28"/>
      </c>
      <c r="AC82" s="614">
        <f t="shared" si="23"/>
      </c>
      <c r="AD82" s="614">
        <f t="shared" si="24"/>
      </c>
      <c r="AE82" s="614">
        <f t="shared" si="24"/>
      </c>
      <c r="AF82" s="614">
        <f t="shared" si="24"/>
      </c>
      <c r="AG82" s="614">
        <f t="shared" si="24"/>
      </c>
      <c r="AH82" s="614">
        <f t="shared" si="24"/>
      </c>
      <c r="AI82" s="614">
        <f t="shared" si="24"/>
      </c>
      <c r="AJ82" s="614">
        <f t="shared" si="24"/>
      </c>
      <c r="AK82" s="614">
        <f t="shared" si="24"/>
      </c>
      <c r="AL82" s="614">
        <f t="shared" si="9"/>
      </c>
      <c r="AM82" s="614">
        <f t="shared" si="9"/>
      </c>
      <c r="AN82" s="614">
        <f t="shared" si="9"/>
      </c>
      <c r="AO82" s="614">
        <f t="shared" si="9"/>
      </c>
      <c r="AP82" s="614">
        <f t="shared" si="9"/>
      </c>
      <c r="AQ82" s="614">
        <f t="shared" si="9"/>
      </c>
      <c r="AR82" s="614">
        <f t="shared" si="9"/>
      </c>
      <c r="AS82" s="614">
        <f t="shared" si="9"/>
      </c>
      <c r="AT82" s="614">
        <f t="shared" si="9"/>
      </c>
      <c r="AU82" s="614">
        <f t="shared" si="9"/>
      </c>
      <c r="AV82" s="614">
        <f t="shared" si="9"/>
      </c>
      <c r="AW82" s="614">
        <f t="shared" si="10"/>
      </c>
      <c r="AX82" s="614">
        <f t="shared" si="10"/>
      </c>
      <c r="AY82" s="614">
        <f t="shared" si="10"/>
      </c>
      <c r="AZ82" s="614">
        <f t="shared" si="10"/>
      </c>
      <c r="BA82" s="614">
        <f t="shared" si="10"/>
      </c>
      <c r="BB82" s="614">
        <f t="shared" si="10"/>
      </c>
      <c r="BC82" s="614">
        <f t="shared" si="10"/>
      </c>
      <c r="BD82" s="614">
        <f t="shared" si="10"/>
      </c>
      <c r="BE82" s="614">
        <f t="shared" si="10"/>
      </c>
      <c r="BF82" s="193"/>
    </row>
    <row r="83" spans="2:58" ht="16.5" thickBot="1" thickTop="1">
      <c r="B83" s="57"/>
      <c r="C83" s="624">
        <f>+IF(Y$58&lt;=$G$54,Y$58,"")</f>
      </c>
      <c r="D83" s="728"/>
      <c r="E83" s="729"/>
      <c r="F83" s="730"/>
      <c r="G83" s="613"/>
      <c r="H83" s="615"/>
      <c r="I83" s="615"/>
      <c r="J83" s="615"/>
      <c r="K83" s="615"/>
      <c r="L83" s="615"/>
      <c r="M83" s="615"/>
      <c r="N83" s="615"/>
      <c r="O83" s="615"/>
      <c r="P83" s="615"/>
      <c r="Q83" s="615"/>
      <c r="R83" s="615"/>
      <c r="S83" s="615"/>
      <c r="T83" s="615"/>
      <c r="U83" s="615"/>
      <c r="V83" s="615"/>
      <c r="W83" s="615"/>
      <c r="X83" s="615"/>
      <c r="Y83" s="614">
        <f t="shared" si="28"/>
      </c>
      <c r="Z83" s="614">
        <f t="shared" si="28"/>
      </c>
      <c r="AA83" s="614">
        <f t="shared" si="28"/>
      </c>
      <c r="AB83" s="614">
        <f t="shared" si="28"/>
      </c>
      <c r="AC83" s="614">
        <f t="shared" si="23"/>
      </c>
      <c r="AD83" s="614">
        <f t="shared" si="24"/>
      </c>
      <c r="AE83" s="614">
        <f t="shared" si="24"/>
      </c>
      <c r="AF83" s="614">
        <f t="shared" si="24"/>
      </c>
      <c r="AG83" s="614">
        <f t="shared" si="24"/>
      </c>
      <c r="AH83" s="614">
        <f t="shared" si="24"/>
      </c>
      <c r="AI83" s="614">
        <f t="shared" si="24"/>
      </c>
      <c r="AJ83" s="614">
        <f t="shared" si="24"/>
      </c>
      <c r="AK83" s="614">
        <f t="shared" si="24"/>
      </c>
      <c r="AL83" s="614">
        <f t="shared" si="9"/>
      </c>
      <c r="AM83" s="614">
        <f t="shared" si="9"/>
      </c>
      <c r="AN83" s="614">
        <f t="shared" si="9"/>
      </c>
      <c r="AO83" s="614">
        <f t="shared" si="9"/>
      </c>
      <c r="AP83" s="614">
        <f t="shared" si="9"/>
      </c>
      <c r="AQ83" s="614">
        <f t="shared" si="9"/>
      </c>
      <c r="AR83" s="614">
        <f t="shared" si="9"/>
      </c>
      <c r="AS83" s="614">
        <f t="shared" si="9"/>
      </c>
      <c r="AT83" s="614">
        <f t="shared" si="9"/>
      </c>
      <c r="AU83" s="614">
        <f t="shared" si="9"/>
      </c>
      <c r="AV83" s="614">
        <f t="shared" si="9"/>
      </c>
      <c r="AW83" s="614">
        <f t="shared" si="10"/>
      </c>
      <c r="AX83" s="614">
        <f t="shared" si="10"/>
      </c>
      <c r="AY83" s="614">
        <f t="shared" si="10"/>
      </c>
      <c r="AZ83" s="614">
        <f t="shared" si="10"/>
      </c>
      <c r="BA83" s="614">
        <f t="shared" si="10"/>
      </c>
      <c r="BB83" s="614">
        <f t="shared" si="10"/>
      </c>
      <c r="BC83" s="614">
        <f t="shared" si="10"/>
      </c>
      <c r="BD83" s="614">
        <f t="shared" si="10"/>
      </c>
      <c r="BE83" s="614">
        <f t="shared" si="10"/>
      </c>
      <c r="BF83" s="193"/>
    </row>
    <row r="84" spans="2:58" ht="16.5" thickBot="1" thickTop="1">
      <c r="B84" s="57"/>
      <c r="C84" s="624">
        <f>+IF(Z$58&lt;=$G$54,Z$58,"")</f>
      </c>
      <c r="D84" s="728"/>
      <c r="E84" s="729"/>
      <c r="F84" s="730"/>
      <c r="G84" s="613"/>
      <c r="H84" s="615"/>
      <c r="I84" s="615"/>
      <c r="J84" s="615"/>
      <c r="K84" s="615"/>
      <c r="L84" s="615"/>
      <c r="M84" s="615"/>
      <c r="N84" s="615"/>
      <c r="O84" s="615"/>
      <c r="P84" s="615"/>
      <c r="Q84" s="615"/>
      <c r="R84" s="615"/>
      <c r="S84" s="615"/>
      <c r="T84" s="615"/>
      <c r="U84" s="615"/>
      <c r="V84" s="615"/>
      <c r="W84" s="615"/>
      <c r="X84" s="615"/>
      <c r="Y84" s="615"/>
      <c r="Z84" s="614">
        <f t="shared" si="28"/>
      </c>
      <c r="AA84" s="614">
        <f t="shared" si="28"/>
      </c>
      <c r="AB84" s="614">
        <f t="shared" si="28"/>
      </c>
      <c r="AC84" s="614">
        <f t="shared" si="23"/>
      </c>
      <c r="AD84" s="614">
        <f t="shared" si="24"/>
      </c>
      <c r="AE84" s="614">
        <f t="shared" si="24"/>
      </c>
      <c r="AF84" s="614">
        <f t="shared" si="24"/>
      </c>
      <c r="AG84" s="614">
        <f t="shared" si="24"/>
      </c>
      <c r="AH84" s="614">
        <f t="shared" si="24"/>
      </c>
      <c r="AI84" s="614">
        <f t="shared" si="24"/>
      </c>
      <c r="AJ84" s="614">
        <f t="shared" si="24"/>
      </c>
      <c r="AK84" s="614">
        <f t="shared" si="24"/>
      </c>
      <c r="AL84" s="614">
        <f t="shared" si="9"/>
      </c>
      <c r="AM84" s="614">
        <f t="shared" si="9"/>
      </c>
      <c r="AN84" s="614">
        <f t="shared" si="9"/>
      </c>
      <c r="AO84" s="614">
        <f t="shared" si="9"/>
      </c>
      <c r="AP84" s="614">
        <f t="shared" si="9"/>
      </c>
      <c r="AQ84" s="614">
        <f t="shared" si="9"/>
      </c>
      <c r="AR84" s="614">
        <f t="shared" si="9"/>
      </c>
      <c r="AS84" s="614">
        <f t="shared" si="9"/>
      </c>
      <c r="AT84" s="614">
        <f t="shared" si="9"/>
      </c>
      <c r="AU84" s="614">
        <f t="shared" si="9"/>
      </c>
      <c r="AV84" s="614">
        <f t="shared" si="9"/>
      </c>
      <c r="AW84" s="614">
        <f t="shared" si="10"/>
      </c>
      <c r="AX84" s="614">
        <f t="shared" si="10"/>
      </c>
      <c r="AY84" s="614">
        <f t="shared" si="10"/>
      </c>
      <c r="AZ84" s="614">
        <f t="shared" si="10"/>
      </c>
      <c r="BA84" s="614">
        <f t="shared" si="10"/>
      </c>
      <c r="BB84" s="614">
        <f t="shared" si="10"/>
      </c>
      <c r="BC84" s="614">
        <f t="shared" si="10"/>
      </c>
      <c r="BD84" s="614">
        <f t="shared" si="10"/>
      </c>
      <c r="BE84" s="614">
        <f t="shared" si="10"/>
      </c>
      <c r="BF84" s="193"/>
    </row>
    <row r="85" spans="2:58" ht="16.5" thickBot="1" thickTop="1">
      <c r="B85" s="57"/>
      <c r="C85" s="624">
        <f>+IF(AA$58&lt;=$G$54,AA$58,"")</f>
      </c>
      <c r="D85" s="728"/>
      <c r="E85" s="729"/>
      <c r="F85" s="730"/>
      <c r="G85" s="613"/>
      <c r="H85" s="615"/>
      <c r="I85" s="615"/>
      <c r="J85" s="615"/>
      <c r="K85" s="615"/>
      <c r="L85" s="615"/>
      <c r="M85" s="615"/>
      <c r="N85" s="615"/>
      <c r="O85" s="615"/>
      <c r="P85" s="615"/>
      <c r="Q85" s="615"/>
      <c r="R85" s="615"/>
      <c r="S85" s="615"/>
      <c r="T85" s="615"/>
      <c r="U85" s="615"/>
      <c r="V85" s="615"/>
      <c r="W85" s="615"/>
      <c r="X85" s="615"/>
      <c r="Y85" s="615"/>
      <c r="Z85" s="615"/>
      <c r="AA85" s="614">
        <f t="shared" si="28"/>
      </c>
      <c r="AB85" s="614">
        <f t="shared" si="28"/>
      </c>
      <c r="AC85" s="614">
        <f t="shared" si="23"/>
      </c>
      <c r="AD85" s="614">
        <f t="shared" si="24"/>
      </c>
      <c r="AE85" s="614">
        <f t="shared" si="24"/>
      </c>
      <c r="AF85" s="614">
        <f t="shared" si="24"/>
      </c>
      <c r="AG85" s="614">
        <f t="shared" si="24"/>
      </c>
      <c r="AH85" s="614">
        <f t="shared" si="24"/>
      </c>
      <c r="AI85" s="614">
        <f t="shared" si="24"/>
      </c>
      <c r="AJ85" s="614">
        <f t="shared" si="24"/>
      </c>
      <c r="AK85" s="614">
        <f t="shared" si="24"/>
      </c>
      <c r="AL85" s="614">
        <f t="shared" si="9"/>
      </c>
      <c r="AM85" s="614">
        <f t="shared" si="9"/>
      </c>
      <c r="AN85" s="614">
        <f t="shared" si="9"/>
      </c>
      <c r="AO85" s="614">
        <f t="shared" si="9"/>
      </c>
      <c r="AP85" s="614">
        <f t="shared" si="9"/>
      </c>
      <c r="AQ85" s="614">
        <f t="shared" si="9"/>
      </c>
      <c r="AR85" s="614">
        <f t="shared" si="9"/>
      </c>
      <c r="AS85" s="614">
        <f t="shared" si="9"/>
      </c>
      <c r="AT85" s="614">
        <f t="shared" si="9"/>
      </c>
      <c r="AU85" s="614">
        <f t="shared" si="9"/>
      </c>
      <c r="AV85" s="614">
        <f t="shared" si="9"/>
      </c>
      <c r="AW85" s="614">
        <f t="shared" si="10"/>
      </c>
      <c r="AX85" s="614">
        <f t="shared" si="10"/>
      </c>
      <c r="AY85" s="614">
        <f t="shared" si="10"/>
      </c>
      <c r="AZ85" s="614">
        <f t="shared" si="10"/>
      </c>
      <c r="BA85" s="614">
        <f t="shared" si="10"/>
      </c>
      <c r="BB85" s="614">
        <f t="shared" si="10"/>
      </c>
      <c r="BC85" s="614">
        <f t="shared" si="10"/>
      </c>
      <c r="BD85" s="614">
        <f t="shared" si="10"/>
      </c>
      <c r="BE85" s="614">
        <f t="shared" si="10"/>
      </c>
      <c r="BF85" s="193"/>
    </row>
    <row r="86" spans="2:58" ht="16.5" thickBot="1" thickTop="1">
      <c r="B86" s="57"/>
      <c r="C86" s="624">
        <f>+IF(AB$58&lt;=$G$54,AB$58,"")</f>
      </c>
      <c r="D86" s="728"/>
      <c r="E86" s="729"/>
      <c r="F86" s="730"/>
      <c r="G86" s="613"/>
      <c r="H86" s="615"/>
      <c r="I86" s="615"/>
      <c r="J86" s="615"/>
      <c r="K86" s="615"/>
      <c r="L86" s="615"/>
      <c r="M86" s="615"/>
      <c r="N86" s="615"/>
      <c r="O86" s="615"/>
      <c r="P86" s="615"/>
      <c r="Q86" s="615"/>
      <c r="R86" s="615"/>
      <c r="S86" s="615"/>
      <c r="T86" s="615"/>
      <c r="U86" s="615"/>
      <c r="V86" s="615"/>
      <c r="W86" s="615"/>
      <c r="X86" s="615"/>
      <c r="Y86" s="615"/>
      <c r="Z86" s="615"/>
      <c r="AA86" s="615"/>
      <c r="AB86" s="614">
        <f t="shared" si="28"/>
      </c>
      <c r="AC86" s="614">
        <f t="shared" si="23"/>
      </c>
      <c r="AD86" s="614">
        <f t="shared" si="24"/>
      </c>
      <c r="AE86" s="614">
        <f t="shared" si="24"/>
      </c>
      <c r="AF86" s="614">
        <f t="shared" si="24"/>
      </c>
      <c r="AG86" s="614">
        <f t="shared" si="24"/>
      </c>
      <c r="AH86" s="614">
        <f t="shared" si="24"/>
      </c>
      <c r="AI86" s="614">
        <f t="shared" si="24"/>
      </c>
      <c r="AJ86" s="614">
        <f t="shared" si="24"/>
      </c>
      <c r="AK86" s="614">
        <f t="shared" si="24"/>
      </c>
      <c r="AL86" s="614">
        <f t="shared" si="24"/>
      </c>
      <c r="AM86" s="614">
        <f t="shared" si="24"/>
      </c>
      <c r="AN86" s="614">
        <f t="shared" si="24"/>
      </c>
      <c r="AO86" s="614">
        <f t="shared" si="24"/>
      </c>
      <c r="AP86" s="614">
        <f t="shared" si="24"/>
      </c>
      <c r="AQ86" s="614">
        <f t="shared" si="24"/>
      </c>
      <c r="AR86" s="614">
        <f t="shared" si="24"/>
      </c>
      <c r="AS86" s="614">
        <f t="shared" si="24"/>
      </c>
      <c r="AT86" s="614">
        <f aca="true" t="shared" si="29" ref="AT86:BE104">IF(ISERROR($F86*$E86*EXP(-$F86*(AT$58-$C86+0.5))*$D86),"",$F86*$E86*EXP(-$F86*(AT$58-$C86+0.5))*$D86)</f>
      </c>
      <c r="AU86" s="614">
        <f t="shared" si="29"/>
      </c>
      <c r="AV86" s="614">
        <f t="shared" si="29"/>
      </c>
      <c r="AW86" s="614">
        <f t="shared" si="29"/>
      </c>
      <c r="AX86" s="614">
        <f t="shared" si="29"/>
      </c>
      <c r="AY86" s="614">
        <f t="shared" si="29"/>
      </c>
      <c r="AZ86" s="614">
        <f t="shared" si="29"/>
      </c>
      <c r="BA86" s="614">
        <f t="shared" si="29"/>
      </c>
      <c r="BB86" s="614">
        <f t="shared" si="29"/>
      </c>
      <c r="BC86" s="614">
        <f t="shared" si="29"/>
      </c>
      <c r="BD86" s="614">
        <f t="shared" si="29"/>
      </c>
      <c r="BE86" s="614">
        <f t="shared" si="29"/>
      </c>
      <c r="BF86" s="193"/>
    </row>
    <row r="87" spans="2:58" ht="16.5" thickBot="1" thickTop="1">
      <c r="B87" s="57"/>
      <c r="C87" s="624">
        <f>+IF(AC$58&lt;=$G$54,AC$58,"")</f>
      </c>
      <c r="D87" s="728"/>
      <c r="E87" s="729"/>
      <c r="F87" s="730"/>
      <c r="G87" s="613"/>
      <c r="H87" s="615"/>
      <c r="I87" s="615"/>
      <c r="J87" s="615"/>
      <c r="K87" s="615"/>
      <c r="L87" s="615"/>
      <c r="M87" s="615"/>
      <c r="N87" s="615"/>
      <c r="O87" s="615"/>
      <c r="P87" s="615"/>
      <c r="Q87" s="615"/>
      <c r="R87" s="615"/>
      <c r="S87" s="615"/>
      <c r="T87" s="615"/>
      <c r="U87" s="615"/>
      <c r="V87" s="615"/>
      <c r="W87" s="615"/>
      <c r="X87" s="615"/>
      <c r="Y87" s="615"/>
      <c r="Z87" s="615"/>
      <c r="AA87" s="615"/>
      <c r="AB87" s="615"/>
      <c r="AC87" s="614">
        <f t="shared" si="23"/>
      </c>
      <c r="AD87" s="614">
        <f t="shared" si="24"/>
      </c>
      <c r="AE87" s="614">
        <f t="shared" si="24"/>
      </c>
      <c r="AF87" s="614">
        <f t="shared" si="24"/>
      </c>
      <c r="AG87" s="614">
        <f t="shared" si="24"/>
      </c>
      <c r="AH87" s="614">
        <f t="shared" si="24"/>
      </c>
      <c r="AI87" s="614">
        <f t="shared" si="24"/>
      </c>
      <c r="AJ87" s="614">
        <f t="shared" si="24"/>
      </c>
      <c r="AK87" s="614">
        <f t="shared" si="24"/>
      </c>
      <c r="AL87" s="614">
        <f t="shared" si="24"/>
      </c>
      <c r="AM87" s="614">
        <f t="shared" si="24"/>
      </c>
      <c r="AN87" s="614">
        <f t="shared" si="24"/>
      </c>
      <c r="AO87" s="614">
        <f t="shared" si="24"/>
      </c>
      <c r="AP87" s="614">
        <f t="shared" si="24"/>
      </c>
      <c r="AQ87" s="614">
        <f t="shared" si="24"/>
      </c>
      <c r="AR87" s="614">
        <f t="shared" si="24"/>
      </c>
      <c r="AS87" s="614">
        <f t="shared" si="24"/>
      </c>
      <c r="AT87" s="614">
        <f t="shared" si="29"/>
      </c>
      <c r="AU87" s="614">
        <f t="shared" si="29"/>
      </c>
      <c r="AV87" s="614">
        <f t="shared" si="29"/>
      </c>
      <c r="AW87" s="614">
        <f t="shared" si="29"/>
      </c>
      <c r="AX87" s="614">
        <f t="shared" si="29"/>
      </c>
      <c r="AY87" s="614">
        <f t="shared" si="29"/>
      </c>
      <c r="AZ87" s="614">
        <f t="shared" si="29"/>
      </c>
      <c r="BA87" s="614">
        <f t="shared" si="29"/>
      </c>
      <c r="BB87" s="614">
        <f t="shared" si="29"/>
      </c>
      <c r="BC87" s="614">
        <f t="shared" si="29"/>
      </c>
      <c r="BD87" s="614">
        <f t="shared" si="29"/>
      </c>
      <c r="BE87" s="614">
        <f t="shared" si="29"/>
      </c>
      <c r="BF87" s="193"/>
    </row>
    <row r="88" spans="2:58" ht="16.5" thickBot="1" thickTop="1">
      <c r="B88" s="57"/>
      <c r="C88" s="624">
        <f>+IF(AD$58&lt;=$G$54,AD$58,"")</f>
      </c>
      <c r="D88" s="728"/>
      <c r="E88" s="729"/>
      <c r="F88" s="730"/>
      <c r="G88" s="613"/>
      <c r="H88" s="615"/>
      <c r="I88" s="615"/>
      <c r="J88" s="615"/>
      <c r="K88" s="615"/>
      <c r="L88" s="615"/>
      <c r="M88" s="615"/>
      <c r="N88" s="615"/>
      <c r="O88" s="615"/>
      <c r="P88" s="615"/>
      <c r="Q88" s="615"/>
      <c r="R88" s="615"/>
      <c r="S88" s="615"/>
      <c r="T88" s="615"/>
      <c r="U88" s="615"/>
      <c r="V88" s="615"/>
      <c r="W88" s="615"/>
      <c r="X88" s="615"/>
      <c r="Y88" s="615"/>
      <c r="Z88" s="615"/>
      <c r="AA88" s="615"/>
      <c r="AB88" s="615"/>
      <c r="AC88" s="615"/>
      <c r="AD88" s="614">
        <f t="shared" si="24"/>
      </c>
      <c r="AE88" s="614">
        <f t="shared" si="24"/>
      </c>
      <c r="AF88" s="614">
        <f t="shared" si="24"/>
      </c>
      <c r="AG88" s="614">
        <f t="shared" si="24"/>
      </c>
      <c r="AH88" s="614">
        <f t="shared" si="24"/>
      </c>
      <c r="AI88" s="614">
        <f t="shared" si="24"/>
      </c>
      <c r="AJ88" s="614">
        <f t="shared" si="24"/>
      </c>
      <c r="AK88" s="614">
        <f t="shared" si="24"/>
      </c>
      <c r="AL88" s="614">
        <f t="shared" si="24"/>
      </c>
      <c r="AM88" s="614">
        <f t="shared" si="24"/>
      </c>
      <c r="AN88" s="614">
        <f t="shared" si="24"/>
      </c>
      <c r="AO88" s="614">
        <f t="shared" si="24"/>
      </c>
      <c r="AP88" s="614">
        <f t="shared" si="24"/>
      </c>
      <c r="AQ88" s="614">
        <f t="shared" si="24"/>
      </c>
      <c r="AR88" s="614">
        <f t="shared" si="24"/>
      </c>
      <c r="AS88" s="614">
        <f t="shared" si="24"/>
      </c>
      <c r="AT88" s="614">
        <f t="shared" si="29"/>
      </c>
      <c r="AU88" s="614">
        <f t="shared" si="29"/>
      </c>
      <c r="AV88" s="614">
        <f t="shared" si="29"/>
      </c>
      <c r="AW88" s="614">
        <f t="shared" si="29"/>
      </c>
      <c r="AX88" s="614">
        <f t="shared" si="29"/>
      </c>
      <c r="AY88" s="614">
        <f t="shared" si="29"/>
      </c>
      <c r="AZ88" s="614">
        <f t="shared" si="29"/>
      </c>
      <c r="BA88" s="614">
        <f t="shared" si="29"/>
      </c>
      <c r="BB88" s="614">
        <f t="shared" si="29"/>
      </c>
      <c r="BC88" s="614">
        <f t="shared" si="29"/>
      </c>
      <c r="BD88" s="614">
        <f t="shared" si="29"/>
      </c>
      <c r="BE88" s="614">
        <f t="shared" si="29"/>
      </c>
      <c r="BF88" s="193"/>
    </row>
    <row r="89" spans="2:58" ht="16.5" thickBot="1" thickTop="1">
      <c r="B89" s="57"/>
      <c r="C89" s="624">
        <f>+IF(AE$58&lt;=$G$54,AE$58,"")</f>
      </c>
      <c r="D89" s="728"/>
      <c r="E89" s="729"/>
      <c r="F89" s="730"/>
      <c r="G89" s="613"/>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4">
        <f t="shared" si="24"/>
      </c>
      <c r="AF89" s="614">
        <f t="shared" si="24"/>
      </c>
      <c r="AG89" s="614">
        <f t="shared" si="24"/>
      </c>
      <c r="AH89" s="614">
        <f t="shared" si="24"/>
      </c>
      <c r="AI89" s="614">
        <f t="shared" si="24"/>
      </c>
      <c r="AJ89" s="614">
        <f t="shared" si="24"/>
      </c>
      <c r="AK89" s="614">
        <f t="shared" si="24"/>
      </c>
      <c r="AL89" s="614">
        <f t="shared" si="24"/>
      </c>
      <c r="AM89" s="614">
        <f t="shared" si="24"/>
      </c>
      <c r="AN89" s="614">
        <f t="shared" si="24"/>
      </c>
      <c r="AO89" s="614">
        <f t="shared" si="24"/>
      </c>
      <c r="AP89" s="614">
        <f t="shared" si="24"/>
      </c>
      <c r="AQ89" s="614">
        <f t="shared" si="24"/>
      </c>
      <c r="AR89" s="614">
        <f t="shared" si="24"/>
      </c>
      <c r="AS89" s="614">
        <f t="shared" si="24"/>
      </c>
      <c r="AT89" s="614">
        <f t="shared" si="29"/>
      </c>
      <c r="AU89" s="614">
        <f t="shared" si="29"/>
      </c>
      <c r="AV89" s="614">
        <f t="shared" si="29"/>
      </c>
      <c r="AW89" s="614">
        <f t="shared" si="29"/>
      </c>
      <c r="AX89" s="614">
        <f t="shared" si="29"/>
      </c>
      <c r="AY89" s="614">
        <f t="shared" si="29"/>
      </c>
      <c r="AZ89" s="614">
        <f t="shared" si="29"/>
      </c>
      <c r="BA89" s="614">
        <f t="shared" si="29"/>
      </c>
      <c r="BB89" s="614">
        <f t="shared" si="29"/>
      </c>
      <c r="BC89" s="614">
        <f t="shared" si="29"/>
      </c>
      <c r="BD89" s="614">
        <f t="shared" si="29"/>
      </c>
      <c r="BE89" s="614">
        <f t="shared" si="29"/>
      </c>
      <c r="BF89" s="193"/>
    </row>
    <row r="90" spans="2:58" ht="16.5" thickBot="1" thickTop="1">
      <c r="B90" s="57"/>
      <c r="C90" s="624">
        <f>+IF(AF$58&lt;=$G$54,AF$58,"")</f>
      </c>
      <c r="D90" s="728"/>
      <c r="E90" s="729"/>
      <c r="F90" s="730"/>
      <c r="G90" s="613"/>
      <c r="H90" s="615"/>
      <c r="I90" s="615"/>
      <c r="J90" s="615"/>
      <c r="K90" s="615"/>
      <c r="L90" s="615"/>
      <c r="M90" s="615"/>
      <c r="N90" s="615"/>
      <c r="O90" s="615"/>
      <c r="P90" s="615"/>
      <c r="Q90" s="615"/>
      <c r="R90" s="615"/>
      <c r="S90" s="615"/>
      <c r="T90" s="615"/>
      <c r="U90" s="615"/>
      <c r="V90" s="615"/>
      <c r="W90" s="615"/>
      <c r="X90" s="615"/>
      <c r="Y90" s="615"/>
      <c r="Z90" s="615"/>
      <c r="AA90" s="615"/>
      <c r="AB90" s="615"/>
      <c r="AC90" s="615"/>
      <c r="AD90" s="615"/>
      <c r="AE90" s="615"/>
      <c r="AF90" s="614">
        <f t="shared" si="24"/>
      </c>
      <c r="AG90" s="614">
        <f t="shared" si="24"/>
      </c>
      <c r="AH90" s="614">
        <f t="shared" si="24"/>
      </c>
      <c r="AI90" s="614">
        <f t="shared" si="24"/>
      </c>
      <c r="AJ90" s="614">
        <f t="shared" si="24"/>
      </c>
      <c r="AK90" s="614">
        <f t="shared" si="24"/>
      </c>
      <c r="AL90" s="614">
        <f t="shared" si="24"/>
      </c>
      <c r="AM90" s="614">
        <f t="shared" si="24"/>
      </c>
      <c r="AN90" s="614">
        <f t="shared" si="24"/>
      </c>
      <c r="AO90" s="614">
        <f t="shared" si="24"/>
      </c>
      <c r="AP90" s="614">
        <f t="shared" si="24"/>
      </c>
      <c r="AQ90" s="614">
        <f t="shared" si="24"/>
      </c>
      <c r="AR90" s="614">
        <f t="shared" si="24"/>
      </c>
      <c r="AS90" s="614">
        <f t="shared" si="24"/>
      </c>
      <c r="AT90" s="614">
        <f t="shared" si="29"/>
      </c>
      <c r="AU90" s="614">
        <f t="shared" si="29"/>
      </c>
      <c r="AV90" s="614">
        <f t="shared" si="29"/>
      </c>
      <c r="AW90" s="614">
        <f t="shared" si="29"/>
      </c>
      <c r="AX90" s="614">
        <f t="shared" si="29"/>
      </c>
      <c r="AY90" s="614">
        <f t="shared" si="29"/>
      </c>
      <c r="AZ90" s="614">
        <f t="shared" si="29"/>
      </c>
      <c r="BA90" s="614">
        <f t="shared" si="29"/>
      </c>
      <c r="BB90" s="614">
        <f t="shared" si="29"/>
      </c>
      <c r="BC90" s="614">
        <f t="shared" si="29"/>
      </c>
      <c r="BD90" s="614">
        <f t="shared" si="29"/>
      </c>
      <c r="BE90" s="614">
        <f t="shared" si="29"/>
      </c>
      <c r="BF90" s="193"/>
    </row>
    <row r="91" spans="2:58" ht="16.5" thickBot="1" thickTop="1">
      <c r="B91" s="57"/>
      <c r="C91" s="624">
        <f>+IF(AG$58&lt;=$G$54,AG$58,"")</f>
      </c>
      <c r="D91" s="728"/>
      <c r="E91" s="729"/>
      <c r="F91" s="730"/>
      <c r="G91" s="613"/>
      <c r="H91" s="615"/>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4">
        <f t="shared" si="24"/>
      </c>
      <c r="AH91" s="614">
        <f t="shared" si="24"/>
      </c>
      <c r="AI91" s="614">
        <f t="shared" si="24"/>
      </c>
      <c r="AJ91" s="614">
        <f t="shared" si="24"/>
      </c>
      <c r="AK91" s="614">
        <f t="shared" si="24"/>
      </c>
      <c r="AL91" s="614">
        <f t="shared" si="24"/>
      </c>
      <c r="AM91" s="614">
        <f t="shared" si="24"/>
      </c>
      <c r="AN91" s="614">
        <f t="shared" si="24"/>
      </c>
      <c r="AO91" s="614">
        <f t="shared" si="24"/>
      </c>
      <c r="AP91" s="614">
        <f t="shared" si="24"/>
      </c>
      <c r="AQ91" s="614">
        <f t="shared" si="24"/>
      </c>
      <c r="AR91" s="614">
        <f t="shared" si="24"/>
      </c>
      <c r="AS91" s="614">
        <f t="shared" si="24"/>
      </c>
      <c r="AT91" s="614">
        <f t="shared" si="29"/>
      </c>
      <c r="AU91" s="614">
        <f t="shared" si="29"/>
      </c>
      <c r="AV91" s="614">
        <f t="shared" si="29"/>
      </c>
      <c r="AW91" s="614">
        <f t="shared" si="29"/>
      </c>
      <c r="AX91" s="614">
        <f t="shared" si="29"/>
      </c>
      <c r="AY91" s="614">
        <f t="shared" si="29"/>
      </c>
      <c r="AZ91" s="614">
        <f t="shared" si="29"/>
      </c>
      <c r="BA91" s="614">
        <f t="shared" si="29"/>
      </c>
      <c r="BB91" s="614">
        <f t="shared" si="29"/>
      </c>
      <c r="BC91" s="614">
        <f t="shared" si="29"/>
      </c>
      <c r="BD91" s="614">
        <f t="shared" si="29"/>
      </c>
      <c r="BE91" s="614">
        <f t="shared" si="29"/>
      </c>
      <c r="BF91" s="193"/>
    </row>
    <row r="92" spans="2:58" ht="16.5" thickBot="1" thickTop="1">
      <c r="B92" s="57"/>
      <c r="C92" s="624">
        <f>+IF(AH$58&lt;=$G$54,AH$58,"")</f>
      </c>
      <c r="D92" s="728"/>
      <c r="E92" s="729"/>
      <c r="F92" s="730"/>
      <c r="G92" s="613"/>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4">
        <f t="shared" si="24"/>
      </c>
      <c r="AI92" s="614">
        <f t="shared" si="24"/>
      </c>
      <c r="AJ92" s="614">
        <f t="shared" si="24"/>
      </c>
      <c r="AK92" s="614">
        <f t="shared" si="24"/>
      </c>
      <c r="AL92" s="614">
        <f t="shared" si="24"/>
      </c>
      <c r="AM92" s="614">
        <f t="shared" si="24"/>
      </c>
      <c r="AN92" s="614">
        <f t="shared" si="24"/>
      </c>
      <c r="AO92" s="614">
        <f t="shared" si="24"/>
      </c>
      <c r="AP92" s="614">
        <f t="shared" si="24"/>
      </c>
      <c r="AQ92" s="614">
        <f t="shared" si="24"/>
      </c>
      <c r="AR92" s="614">
        <f t="shared" si="24"/>
      </c>
      <c r="AS92" s="614">
        <f t="shared" si="24"/>
      </c>
      <c r="AT92" s="614">
        <f t="shared" si="29"/>
      </c>
      <c r="AU92" s="614">
        <f t="shared" si="29"/>
      </c>
      <c r="AV92" s="614">
        <f t="shared" si="29"/>
      </c>
      <c r="AW92" s="614">
        <f t="shared" si="29"/>
      </c>
      <c r="AX92" s="614">
        <f t="shared" si="29"/>
      </c>
      <c r="AY92" s="614">
        <f t="shared" si="29"/>
      </c>
      <c r="AZ92" s="614">
        <f t="shared" si="29"/>
      </c>
      <c r="BA92" s="614">
        <f t="shared" si="29"/>
      </c>
      <c r="BB92" s="614">
        <f t="shared" si="29"/>
      </c>
      <c r="BC92" s="614">
        <f t="shared" si="29"/>
      </c>
      <c r="BD92" s="614">
        <f t="shared" si="29"/>
      </c>
      <c r="BE92" s="614">
        <f t="shared" si="29"/>
      </c>
      <c r="BF92" s="193"/>
    </row>
    <row r="93" spans="2:58" ht="16.5" thickBot="1" thickTop="1">
      <c r="B93" s="57"/>
      <c r="C93" s="624">
        <f>+IF(AI$58&lt;=$G$54,AI$58,"")</f>
      </c>
      <c r="D93" s="728"/>
      <c r="E93" s="729"/>
      <c r="F93" s="730"/>
      <c r="G93" s="613"/>
      <c r="H93" s="615"/>
      <c r="I93" s="615"/>
      <c r="J93" s="615"/>
      <c r="K93" s="615"/>
      <c r="L93" s="615"/>
      <c r="M93" s="615"/>
      <c r="N93" s="615"/>
      <c r="O93" s="615"/>
      <c r="P93" s="615"/>
      <c r="Q93" s="615"/>
      <c r="R93" s="615"/>
      <c r="S93" s="615"/>
      <c r="T93" s="615"/>
      <c r="U93" s="615"/>
      <c r="V93" s="615"/>
      <c r="W93" s="615"/>
      <c r="X93" s="615"/>
      <c r="Y93" s="615"/>
      <c r="Z93" s="615"/>
      <c r="AA93" s="615"/>
      <c r="AB93" s="615"/>
      <c r="AC93" s="615"/>
      <c r="AD93" s="615"/>
      <c r="AE93" s="615"/>
      <c r="AF93" s="615"/>
      <c r="AG93" s="615"/>
      <c r="AH93" s="615"/>
      <c r="AI93" s="614">
        <f t="shared" si="24"/>
      </c>
      <c r="AJ93" s="614">
        <f t="shared" si="24"/>
      </c>
      <c r="AK93" s="614">
        <f t="shared" si="24"/>
      </c>
      <c r="AL93" s="614">
        <f t="shared" si="24"/>
      </c>
      <c r="AM93" s="614">
        <f t="shared" si="24"/>
      </c>
      <c r="AN93" s="614">
        <f t="shared" si="24"/>
      </c>
      <c r="AO93" s="614">
        <f t="shared" si="24"/>
      </c>
      <c r="AP93" s="614">
        <f t="shared" si="24"/>
      </c>
      <c r="AQ93" s="614">
        <f t="shared" si="24"/>
      </c>
      <c r="AR93" s="614">
        <f t="shared" si="24"/>
      </c>
      <c r="AS93" s="614">
        <f t="shared" si="24"/>
      </c>
      <c r="AT93" s="614">
        <f t="shared" si="29"/>
      </c>
      <c r="AU93" s="614">
        <f t="shared" si="29"/>
      </c>
      <c r="AV93" s="614">
        <f t="shared" si="29"/>
      </c>
      <c r="AW93" s="614">
        <f t="shared" si="29"/>
      </c>
      <c r="AX93" s="614">
        <f t="shared" si="29"/>
      </c>
      <c r="AY93" s="614">
        <f t="shared" si="29"/>
      </c>
      <c r="AZ93" s="614">
        <f t="shared" si="29"/>
      </c>
      <c r="BA93" s="614">
        <f t="shared" si="29"/>
      </c>
      <c r="BB93" s="614">
        <f t="shared" si="29"/>
      </c>
      <c r="BC93" s="614">
        <f t="shared" si="29"/>
      </c>
      <c r="BD93" s="614">
        <f t="shared" si="29"/>
      </c>
      <c r="BE93" s="614">
        <f t="shared" si="29"/>
      </c>
      <c r="BF93" s="193"/>
    </row>
    <row r="94" spans="2:58" ht="18" customHeight="1" thickBot="1" thickTop="1">
      <c r="B94" s="57"/>
      <c r="C94" s="624">
        <f>+IF(AJ$58&lt;=$G$54,AJ$58,"")</f>
      </c>
      <c r="D94" s="728"/>
      <c r="E94" s="729"/>
      <c r="F94" s="730"/>
      <c r="G94" s="613"/>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4">
        <f aca="true" t="shared" si="30" ref="AJ94:AS103">IF(ISERROR($F94*$E94*EXP(-$F94*(AJ$58-$C94+0.5))*$D94),"",$F94*$E94*EXP(-$F94*(AJ$58-$C94+0.5))*$D94)</f>
      </c>
      <c r="AK94" s="614">
        <f t="shared" si="30"/>
      </c>
      <c r="AL94" s="614">
        <f t="shared" si="30"/>
      </c>
      <c r="AM94" s="614">
        <f t="shared" si="30"/>
      </c>
      <c r="AN94" s="614">
        <f t="shared" si="30"/>
      </c>
      <c r="AO94" s="614">
        <f t="shared" si="30"/>
      </c>
      <c r="AP94" s="614">
        <f t="shared" si="30"/>
      </c>
      <c r="AQ94" s="614">
        <f t="shared" si="30"/>
      </c>
      <c r="AR94" s="614">
        <f t="shared" si="30"/>
      </c>
      <c r="AS94" s="614">
        <f t="shared" si="30"/>
      </c>
      <c r="AT94" s="614">
        <f t="shared" si="29"/>
      </c>
      <c r="AU94" s="614">
        <f t="shared" si="29"/>
      </c>
      <c r="AV94" s="614">
        <f t="shared" si="29"/>
      </c>
      <c r="AW94" s="614">
        <f t="shared" si="29"/>
      </c>
      <c r="AX94" s="614">
        <f t="shared" si="29"/>
      </c>
      <c r="AY94" s="614">
        <f t="shared" si="29"/>
      </c>
      <c r="AZ94" s="614">
        <f t="shared" si="29"/>
      </c>
      <c r="BA94" s="614">
        <f t="shared" si="29"/>
      </c>
      <c r="BB94" s="614">
        <f t="shared" si="29"/>
      </c>
      <c r="BC94" s="614">
        <f t="shared" si="29"/>
      </c>
      <c r="BD94" s="614">
        <f t="shared" si="29"/>
      </c>
      <c r="BE94" s="614">
        <f t="shared" si="29"/>
      </c>
      <c r="BF94" s="193"/>
    </row>
    <row r="95" spans="2:58" ht="18" customHeight="1" thickBot="1" thickTop="1">
      <c r="B95" s="57"/>
      <c r="C95" s="624">
        <f>+IF(AK$58&lt;=$G$54,AK$58,"")</f>
      </c>
      <c r="D95" s="728"/>
      <c r="E95" s="729"/>
      <c r="F95" s="730"/>
      <c r="G95" s="613"/>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c r="AJ95" s="615"/>
      <c r="AK95" s="614">
        <f t="shared" si="30"/>
      </c>
      <c r="AL95" s="614">
        <f t="shared" si="30"/>
      </c>
      <c r="AM95" s="614">
        <f t="shared" si="30"/>
      </c>
      <c r="AN95" s="614">
        <f t="shared" si="30"/>
      </c>
      <c r="AO95" s="614">
        <f t="shared" si="30"/>
      </c>
      <c r="AP95" s="614">
        <f t="shared" si="30"/>
      </c>
      <c r="AQ95" s="614">
        <f t="shared" si="30"/>
      </c>
      <c r="AR95" s="614">
        <f t="shared" si="30"/>
      </c>
      <c r="AS95" s="614">
        <f t="shared" si="30"/>
      </c>
      <c r="AT95" s="614">
        <f t="shared" si="29"/>
      </c>
      <c r="AU95" s="614">
        <f t="shared" si="29"/>
      </c>
      <c r="AV95" s="614">
        <f t="shared" si="29"/>
      </c>
      <c r="AW95" s="614">
        <f t="shared" si="29"/>
      </c>
      <c r="AX95" s="614">
        <f t="shared" si="29"/>
      </c>
      <c r="AY95" s="614">
        <f t="shared" si="29"/>
      </c>
      <c r="AZ95" s="614">
        <f t="shared" si="29"/>
      </c>
      <c r="BA95" s="614">
        <f t="shared" si="29"/>
      </c>
      <c r="BB95" s="614">
        <f t="shared" si="29"/>
      </c>
      <c r="BC95" s="614">
        <f t="shared" si="29"/>
      </c>
      <c r="BD95" s="614">
        <f t="shared" si="29"/>
      </c>
      <c r="BE95" s="614">
        <f t="shared" si="29"/>
      </c>
      <c r="BF95" s="193"/>
    </row>
    <row r="96" spans="2:58" ht="18" customHeight="1" thickBot="1" thickTop="1">
      <c r="B96" s="57"/>
      <c r="C96" s="624">
        <f>+IF(AL$58&lt;=$G$54,AL$58,"")</f>
      </c>
      <c r="D96" s="728"/>
      <c r="E96" s="729"/>
      <c r="F96" s="730"/>
      <c r="G96" s="613"/>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15"/>
      <c r="AL96" s="614">
        <f t="shared" si="30"/>
      </c>
      <c r="AM96" s="614">
        <f t="shared" si="30"/>
      </c>
      <c r="AN96" s="614">
        <f t="shared" si="30"/>
      </c>
      <c r="AO96" s="614">
        <f t="shared" si="30"/>
      </c>
      <c r="AP96" s="614">
        <f t="shared" si="30"/>
      </c>
      <c r="AQ96" s="614">
        <f t="shared" si="30"/>
      </c>
      <c r="AR96" s="614">
        <f t="shared" si="30"/>
      </c>
      <c r="AS96" s="614">
        <f t="shared" si="30"/>
      </c>
      <c r="AT96" s="614">
        <f t="shared" si="29"/>
      </c>
      <c r="AU96" s="614">
        <f t="shared" si="29"/>
      </c>
      <c r="AV96" s="614">
        <f t="shared" si="29"/>
      </c>
      <c r="AW96" s="614">
        <f t="shared" si="29"/>
      </c>
      <c r="AX96" s="614">
        <f t="shared" si="29"/>
      </c>
      <c r="AY96" s="614">
        <f t="shared" si="29"/>
      </c>
      <c r="AZ96" s="614">
        <f t="shared" si="29"/>
      </c>
      <c r="BA96" s="614">
        <f t="shared" si="29"/>
      </c>
      <c r="BB96" s="614">
        <f t="shared" si="29"/>
      </c>
      <c r="BC96" s="614">
        <f t="shared" si="29"/>
      </c>
      <c r="BD96" s="614">
        <f t="shared" si="29"/>
      </c>
      <c r="BE96" s="614">
        <f t="shared" si="29"/>
      </c>
      <c r="BF96" s="193"/>
    </row>
    <row r="97" spans="2:58" ht="18" customHeight="1" thickBot="1" thickTop="1">
      <c r="B97" s="57"/>
      <c r="C97" s="624">
        <f>+IF(AM$58&lt;=$G$54,AM$58,"")</f>
      </c>
      <c r="D97" s="728"/>
      <c r="E97" s="729"/>
      <c r="F97" s="730"/>
      <c r="G97" s="613"/>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15"/>
      <c r="AL97" s="615"/>
      <c r="AM97" s="614">
        <f t="shared" si="30"/>
      </c>
      <c r="AN97" s="614">
        <f t="shared" si="30"/>
      </c>
      <c r="AO97" s="614">
        <f t="shared" si="30"/>
      </c>
      <c r="AP97" s="614">
        <f t="shared" si="30"/>
      </c>
      <c r="AQ97" s="614">
        <f t="shared" si="30"/>
      </c>
      <c r="AR97" s="614">
        <f t="shared" si="30"/>
      </c>
      <c r="AS97" s="614">
        <f t="shared" si="30"/>
      </c>
      <c r="AT97" s="614">
        <f t="shared" si="29"/>
      </c>
      <c r="AU97" s="614">
        <f t="shared" si="29"/>
      </c>
      <c r="AV97" s="614">
        <f t="shared" si="29"/>
      </c>
      <c r="AW97" s="614">
        <f t="shared" si="29"/>
      </c>
      <c r="AX97" s="614">
        <f t="shared" si="29"/>
      </c>
      <c r="AY97" s="614">
        <f t="shared" si="29"/>
      </c>
      <c r="AZ97" s="614">
        <f t="shared" si="29"/>
      </c>
      <c r="BA97" s="614">
        <f t="shared" si="29"/>
      </c>
      <c r="BB97" s="614">
        <f t="shared" si="29"/>
      </c>
      <c r="BC97" s="614">
        <f t="shared" si="29"/>
      </c>
      <c r="BD97" s="614">
        <f t="shared" si="29"/>
      </c>
      <c r="BE97" s="614">
        <f t="shared" si="29"/>
      </c>
      <c r="BF97" s="193"/>
    </row>
    <row r="98" spans="2:58" ht="18" customHeight="1" thickBot="1" thickTop="1">
      <c r="B98" s="57"/>
      <c r="C98" s="624">
        <f>+IF(AN$58&lt;=$G$54,AN$58,"")</f>
      </c>
      <c r="D98" s="728"/>
      <c r="E98" s="729"/>
      <c r="F98" s="730"/>
      <c r="G98" s="613"/>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c r="AJ98" s="615"/>
      <c r="AK98" s="615"/>
      <c r="AL98" s="615"/>
      <c r="AM98" s="615"/>
      <c r="AN98" s="614">
        <f t="shared" si="30"/>
      </c>
      <c r="AO98" s="614">
        <f t="shared" si="30"/>
      </c>
      <c r="AP98" s="614">
        <f t="shared" si="30"/>
      </c>
      <c r="AQ98" s="614">
        <f t="shared" si="30"/>
      </c>
      <c r="AR98" s="614">
        <f t="shared" si="30"/>
      </c>
      <c r="AS98" s="614">
        <f t="shared" si="30"/>
      </c>
      <c r="AT98" s="614">
        <f t="shared" si="29"/>
      </c>
      <c r="AU98" s="614">
        <f t="shared" si="29"/>
      </c>
      <c r="AV98" s="614">
        <f t="shared" si="29"/>
      </c>
      <c r="AW98" s="614">
        <f t="shared" si="29"/>
      </c>
      <c r="AX98" s="614">
        <f t="shared" si="29"/>
      </c>
      <c r="AY98" s="614">
        <f t="shared" si="29"/>
      </c>
      <c r="AZ98" s="614">
        <f t="shared" si="29"/>
      </c>
      <c r="BA98" s="614">
        <f t="shared" si="29"/>
      </c>
      <c r="BB98" s="614">
        <f t="shared" si="29"/>
      </c>
      <c r="BC98" s="614">
        <f t="shared" si="29"/>
      </c>
      <c r="BD98" s="614">
        <f t="shared" si="29"/>
      </c>
      <c r="BE98" s="614">
        <f t="shared" si="29"/>
      </c>
      <c r="BF98" s="193"/>
    </row>
    <row r="99" spans="2:58" ht="18" customHeight="1" thickBot="1" thickTop="1">
      <c r="B99" s="57"/>
      <c r="C99" s="624">
        <f>+IF(AO$58&lt;=$G$54,AO$58,"")</f>
      </c>
      <c r="D99" s="728"/>
      <c r="E99" s="729"/>
      <c r="F99" s="730"/>
      <c r="G99" s="613"/>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615"/>
      <c r="AK99" s="615"/>
      <c r="AL99" s="615"/>
      <c r="AM99" s="615"/>
      <c r="AN99" s="615"/>
      <c r="AO99" s="614">
        <f t="shared" si="30"/>
      </c>
      <c r="AP99" s="614">
        <f t="shared" si="30"/>
      </c>
      <c r="AQ99" s="614">
        <f t="shared" si="30"/>
      </c>
      <c r="AR99" s="614">
        <f t="shared" si="30"/>
      </c>
      <c r="AS99" s="614">
        <f t="shared" si="30"/>
      </c>
      <c r="AT99" s="614">
        <f t="shared" si="29"/>
      </c>
      <c r="AU99" s="614">
        <f t="shared" si="29"/>
      </c>
      <c r="AV99" s="614">
        <f t="shared" si="29"/>
      </c>
      <c r="AW99" s="614">
        <f t="shared" si="29"/>
      </c>
      <c r="AX99" s="614">
        <f t="shared" si="29"/>
      </c>
      <c r="AY99" s="614">
        <f t="shared" si="29"/>
      </c>
      <c r="AZ99" s="614">
        <f t="shared" si="29"/>
      </c>
      <c r="BA99" s="614">
        <f t="shared" si="29"/>
      </c>
      <c r="BB99" s="614">
        <f t="shared" si="29"/>
      </c>
      <c r="BC99" s="614">
        <f t="shared" si="29"/>
      </c>
      <c r="BD99" s="614">
        <f t="shared" si="29"/>
      </c>
      <c r="BE99" s="614">
        <f t="shared" si="29"/>
      </c>
      <c r="BF99" s="193"/>
    </row>
    <row r="100" spans="2:58" ht="18" customHeight="1" thickBot="1" thickTop="1">
      <c r="B100" s="57"/>
      <c r="C100" s="624">
        <f>+IF(AP$58&lt;=$G$54,AP$58,"")</f>
      </c>
      <c r="D100" s="728"/>
      <c r="E100" s="729"/>
      <c r="F100" s="730"/>
      <c r="G100" s="613"/>
      <c r="H100" s="615"/>
      <c r="I100" s="615"/>
      <c r="J100" s="615"/>
      <c r="K100" s="615"/>
      <c r="L100" s="615"/>
      <c r="M100" s="615"/>
      <c r="N100" s="615"/>
      <c r="O100" s="615"/>
      <c r="P100" s="615"/>
      <c r="Q100" s="615"/>
      <c r="R100" s="615"/>
      <c r="S100" s="615"/>
      <c r="T100" s="615"/>
      <c r="U100" s="615"/>
      <c r="V100" s="615"/>
      <c r="W100" s="615"/>
      <c r="X100" s="615"/>
      <c r="Y100" s="615"/>
      <c r="Z100" s="615"/>
      <c r="AA100" s="615"/>
      <c r="AB100" s="615"/>
      <c r="AC100" s="615"/>
      <c r="AD100" s="615"/>
      <c r="AE100" s="615"/>
      <c r="AF100" s="615"/>
      <c r="AG100" s="615"/>
      <c r="AH100" s="615"/>
      <c r="AI100" s="615"/>
      <c r="AJ100" s="615"/>
      <c r="AK100" s="615"/>
      <c r="AL100" s="615"/>
      <c r="AM100" s="615"/>
      <c r="AN100" s="615"/>
      <c r="AO100" s="615"/>
      <c r="AP100" s="614">
        <f t="shared" si="30"/>
      </c>
      <c r="AQ100" s="614">
        <f t="shared" si="30"/>
      </c>
      <c r="AR100" s="614">
        <f t="shared" si="30"/>
      </c>
      <c r="AS100" s="614">
        <f t="shared" si="30"/>
      </c>
      <c r="AT100" s="614">
        <f t="shared" si="29"/>
      </c>
      <c r="AU100" s="614">
        <f t="shared" si="29"/>
      </c>
      <c r="AV100" s="614">
        <f t="shared" si="29"/>
      </c>
      <c r="AW100" s="614">
        <f t="shared" si="29"/>
      </c>
      <c r="AX100" s="614">
        <f t="shared" si="29"/>
      </c>
      <c r="AY100" s="614">
        <f t="shared" si="29"/>
      </c>
      <c r="AZ100" s="614">
        <f t="shared" si="29"/>
      </c>
      <c r="BA100" s="614">
        <f t="shared" si="29"/>
      </c>
      <c r="BB100" s="614">
        <f t="shared" si="29"/>
      </c>
      <c r="BC100" s="614">
        <f t="shared" si="29"/>
      </c>
      <c r="BD100" s="614">
        <f t="shared" si="29"/>
      </c>
      <c r="BE100" s="614">
        <f t="shared" si="29"/>
      </c>
      <c r="BF100" s="193"/>
    </row>
    <row r="101" spans="2:58" ht="18" customHeight="1" thickBot="1" thickTop="1">
      <c r="B101" s="57"/>
      <c r="C101" s="624">
        <f>+IF(AQ$58&lt;=$G$54,AQ$58,"")</f>
      </c>
      <c r="D101" s="728"/>
      <c r="E101" s="729"/>
      <c r="F101" s="730"/>
      <c r="G101" s="613"/>
      <c r="H101" s="615"/>
      <c r="I101" s="615"/>
      <c r="J101" s="615"/>
      <c r="K101" s="615"/>
      <c r="L101" s="615"/>
      <c r="M101" s="615"/>
      <c r="N101" s="615"/>
      <c r="O101" s="615"/>
      <c r="P101" s="615"/>
      <c r="Q101" s="615"/>
      <c r="R101" s="615"/>
      <c r="S101" s="615"/>
      <c r="T101" s="615"/>
      <c r="U101" s="615"/>
      <c r="V101" s="615"/>
      <c r="W101" s="615"/>
      <c r="X101" s="615"/>
      <c r="Y101" s="615"/>
      <c r="Z101" s="615"/>
      <c r="AA101" s="615"/>
      <c r="AB101" s="615"/>
      <c r="AC101" s="615"/>
      <c r="AD101" s="615"/>
      <c r="AE101" s="615"/>
      <c r="AF101" s="615"/>
      <c r="AG101" s="615"/>
      <c r="AH101" s="615"/>
      <c r="AI101" s="615"/>
      <c r="AJ101" s="615"/>
      <c r="AK101" s="615"/>
      <c r="AL101" s="615"/>
      <c r="AM101" s="615"/>
      <c r="AN101" s="615"/>
      <c r="AO101" s="615"/>
      <c r="AP101" s="615"/>
      <c r="AQ101" s="614">
        <f t="shared" si="30"/>
      </c>
      <c r="AR101" s="614">
        <f t="shared" si="30"/>
      </c>
      <c r="AS101" s="614">
        <f t="shared" si="30"/>
      </c>
      <c r="AT101" s="614">
        <f t="shared" si="29"/>
      </c>
      <c r="AU101" s="614">
        <f t="shared" si="29"/>
      </c>
      <c r="AV101" s="614">
        <f t="shared" si="29"/>
      </c>
      <c r="AW101" s="614">
        <f t="shared" si="29"/>
      </c>
      <c r="AX101" s="614">
        <f t="shared" si="29"/>
      </c>
      <c r="AY101" s="614">
        <f t="shared" si="29"/>
      </c>
      <c r="AZ101" s="614">
        <f t="shared" si="29"/>
      </c>
      <c r="BA101" s="614">
        <f t="shared" si="29"/>
      </c>
      <c r="BB101" s="614">
        <f t="shared" si="29"/>
      </c>
      <c r="BC101" s="614">
        <f t="shared" si="29"/>
      </c>
      <c r="BD101" s="614">
        <f t="shared" si="29"/>
      </c>
      <c r="BE101" s="614">
        <f t="shared" si="29"/>
      </c>
      <c r="BF101" s="193"/>
    </row>
    <row r="102" spans="2:58" ht="18" customHeight="1" thickBot="1" thickTop="1">
      <c r="B102" s="57"/>
      <c r="C102" s="624">
        <f>+IF(AR$58&lt;=$G$54,AR$58,"")</f>
      </c>
      <c r="D102" s="728"/>
      <c r="E102" s="729"/>
      <c r="F102" s="730"/>
      <c r="G102" s="613"/>
      <c r="H102" s="615"/>
      <c r="I102" s="615"/>
      <c r="J102" s="615"/>
      <c r="K102" s="615"/>
      <c r="L102" s="615"/>
      <c r="M102" s="615"/>
      <c r="N102" s="615"/>
      <c r="O102" s="615"/>
      <c r="P102" s="615"/>
      <c r="Q102" s="615"/>
      <c r="R102" s="615"/>
      <c r="S102" s="615"/>
      <c r="T102" s="615"/>
      <c r="U102" s="615"/>
      <c r="V102" s="615"/>
      <c r="W102" s="615"/>
      <c r="X102" s="615"/>
      <c r="Y102" s="615"/>
      <c r="Z102" s="615"/>
      <c r="AA102" s="615"/>
      <c r="AB102" s="615"/>
      <c r="AC102" s="615"/>
      <c r="AD102" s="615"/>
      <c r="AE102" s="615"/>
      <c r="AF102" s="615"/>
      <c r="AG102" s="615"/>
      <c r="AH102" s="615"/>
      <c r="AI102" s="615"/>
      <c r="AJ102" s="615"/>
      <c r="AK102" s="615"/>
      <c r="AL102" s="615"/>
      <c r="AM102" s="615"/>
      <c r="AN102" s="615"/>
      <c r="AO102" s="615"/>
      <c r="AP102" s="615"/>
      <c r="AQ102" s="615"/>
      <c r="AR102" s="614">
        <f t="shared" si="30"/>
      </c>
      <c r="AS102" s="614">
        <f t="shared" si="30"/>
      </c>
      <c r="AT102" s="614">
        <f t="shared" si="29"/>
      </c>
      <c r="AU102" s="614">
        <f t="shared" si="29"/>
      </c>
      <c r="AV102" s="614">
        <f t="shared" si="29"/>
      </c>
      <c r="AW102" s="614">
        <f t="shared" si="29"/>
      </c>
      <c r="AX102" s="614">
        <f t="shared" si="29"/>
      </c>
      <c r="AY102" s="614">
        <f t="shared" si="29"/>
      </c>
      <c r="AZ102" s="614">
        <f t="shared" si="29"/>
      </c>
      <c r="BA102" s="614">
        <f t="shared" si="29"/>
      </c>
      <c r="BB102" s="614">
        <f t="shared" si="29"/>
      </c>
      <c r="BC102" s="614">
        <f t="shared" si="29"/>
      </c>
      <c r="BD102" s="614">
        <f t="shared" si="29"/>
      </c>
      <c r="BE102" s="614">
        <f t="shared" si="29"/>
      </c>
      <c r="BF102" s="193"/>
    </row>
    <row r="103" spans="2:58" ht="18" customHeight="1" thickBot="1" thickTop="1">
      <c r="B103" s="57"/>
      <c r="C103" s="624">
        <f>+IF(AS$58&lt;=$G$54,AS$58,"")</f>
      </c>
      <c r="D103" s="728"/>
      <c r="E103" s="729"/>
      <c r="F103" s="730"/>
      <c r="G103" s="613"/>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c r="AH103" s="615"/>
      <c r="AI103" s="615"/>
      <c r="AJ103" s="615"/>
      <c r="AK103" s="615"/>
      <c r="AL103" s="615"/>
      <c r="AM103" s="615"/>
      <c r="AN103" s="615"/>
      <c r="AO103" s="615"/>
      <c r="AP103" s="615"/>
      <c r="AQ103" s="615"/>
      <c r="AR103" s="615"/>
      <c r="AS103" s="614">
        <f t="shared" si="30"/>
      </c>
      <c r="AT103" s="614">
        <f t="shared" si="29"/>
      </c>
      <c r="AU103" s="614">
        <f t="shared" si="29"/>
      </c>
      <c r="AV103" s="614">
        <f t="shared" si="29"/>
      </c>
      <c r="AW103" s="614">
        <f t="shared" si="29"/>
      </c>
      <c r="AX103" s="614">
        <f t="shared" si="29"/>
      </c>
      <c r="AY103" s="614">
        <f t="shared" si="29"/>
      </c>
      <c r="AZ103" s="614">
        <f t="shared" si="29"/>
      </c>
      <c r="BA103" s="614">
        <f t="shared" si="29"/>
      </c>
      <c r="BB103" s="614">
        <f t="shared" si="29"/>
      </c>
      <c r="BC103" s="614">
        <f t="shared" si="29"/>
      </c>
      <c r="BD103" s="614">
        <f t="shared" si="29"/>
      </c>
      <c r="BE103" s="614">
        <f t="shared" si="29"/>
      </c>
      <c r="BF103" s="193"/>
    </row>
    <row r="104" spans="2:58" ht="18" customHeight="1" thickBot="1" thickTop="1">
      <c r="B104" s="57"/>
      <c r="C104" s="624">
        <f>+IF(AT$58&lt;=$G$54,AT$58,"")</f>
      </c>
      <c r="D104" s="728"/>
      <c r="E104" s="729"/>
      <c r="F104" s="730"/>
      <c r="G104" s="613"/>
      <c r="H104" s="615"/>
      <c r="I104" s="615"/>
      <c r="J104" s="615"/>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615"/>
      <c r="AG104" s="615"/>
      <c r="AH104" s="615"/>
      <c r="AI104" s="615"/>
      <c r="AJ104" s="615"/>
      <c r="AK104" s="615"/>
      <c r="AL104" s="615"/>
      <c r="AM104" s="615"/>
      <c r="AN104" s="615"/>
      <c r="AO104" s="615"/>
      <c r="AP104" s="615"/>
      <c r="AQ104" s="615"/>
      <c r="AR104" s="615"/>
      <c r="AS104" s="615"/>
      <c r="AT104" s="614">
        <f t="shared" si="29"/>
      </c>
      <c r="AU104" s="614">
        <f t="shared" si="29"/>
      </c>
      <c r="AV104" s="614">
        <f t="shared" si="29"/>
      </c>
      <c r="AW104" s="614">
        <f t="shared" si="29"/>
      </c>
      <c r="AX104" s="614">
        <f t="shared" si="29"/>
      </c>
      <c r="AY104" s="614">
        <f t="shared" si="29"/>
      </c>
      <c r="AZ104" s="614">
        <f t="shared" si="29"/>
      </c>
      <c r="BA104" s="614">
        <f t="shared" si="29"/>
      </c>
      <c r="BB104" s="614">
        <f t="shared" si="29"/>
      </c>
      <c r="BC104" s="614">
        <f t="shared" si="29"/>
      </c>
      <c r="BD104" s="614">
        <f t="shared" si="29"/>
      </c>
      <c r="BE104" s="614">
        <f t="shared" si="29"/>
      </c>
      <c r="BF104" s="193"/>
    </row>
    <row r="105" spans="2:58" ht="18" customHeight="1" thickBot="1" thickTop="1">
      <c r="B105" s="57"/>
      <c r="C105" s="624">
        <f>+IF(AU$58&lt;=$G$54,AU$58,"")</f>
      </c>
      <c r="D105" s="728"/>
      <c r="E105" s="729"/>
      <c r="F105" s="730"/>
      <c r="G105" s="613"/>
      <c r="H105" s="615"/>
      <c r="I105" s="615"/>
      <c r="J105" s="615"/>
      <c r="K105" s="615"/>
      <c r="L105" s="615"/>
      <c r="M105" s="615"/>
      <c r="N105" s="615"/>
      <c r="O105" s="615"/>
      <c r="P105" s="615"/>
      <c r="Q105" s="615"/>
      <c r="R105" s="615"/>
      <c r="S105" s="615"/>
      <c r="T105" s="615"/>
      <c r="U105" s="615"/>
      <c r="V105" s="615"/>
      <c r="W105" s="615"/>
      <c r="X105" s="615"/>
      <c r="Y105" s="615"/>
      <c r="Z105" s="615"/>
      <c r="AA105" s="615"/>
      <c r="AB105" s="615"/>
      <c r="AC105" s="615"/>
      <c r="AD105" s="615"/>
      <c r="AE105" s="615"/>
      <c r="AF105" s="615"/>
      <c r="AG105" s="615"/>
      <c r="AH105" s="615"/>
      <c r="AI105" s="615"/>
      <c r="AJ105" s="615"/>
      <c r="AK105" s="615"/>
      <c r="AL105" s="615"/>
      <c r="AM105" s="615"/>
      <c r="AN105" s="615"/>
      <c r="AO105" s="615"/>
      <c r="AP105" s="615"/>
      <c r="AQ105" s="615"/>
      <c r="AR105" s="615"/>
      <c r="AS105" s="615"/>
      <c r="AT105" s="615"/>
      <c r="AU105" s="614">
        <f aca="true" t="shared" si="31" ref="AU105:BE115">IF(ISERROR($F105*$E105*EXP(-$F105*(AU$58-$C105+0.5))*$D105),"",$F105*$E105*EXP(-$F105*(AU$58-$C105+0.5))*$D105)</f>
      </c>
      <c r="AV105" s="614">
        <f t="shared" si="31"/>
      </c>
      <c r="AW105" s="614">
        <f t="shared" si="31"/>
      </c>
      <c r="AX105" s="614">
        <f t="shared" si="31"/>
      </c>
      <c r="AY105" s="614">
        <f t="shared" si="31"/>
      </c>
      <c r="AZ105" s="614">
        <f t="shared" si="31"/>
      </c>
      <c r="BA105" s="614">
        <f t="shared" si="31"/>
      </c>
      <c r="BB105" s="614">
        <f t="shared" si="31"/>
      </c>
      <c r="BC105" s="614">
        <f t="shared" si="31"/>
      </c>
      <c r="BD105" s="614">
        <f t="shared" si="31"/>
      </c>
      <c r="BE105" s="614">
        <f t="shared" si="31"/>
      </c>
      <c r="BF105" s="193"/>
    </row>
    <row r="106" spans="2:58" ht="18" customHeight="1" thickBot="1" thickTop="1">
      <c r="B106" s="57"/>
      <c r="C106" s="624">
        <f>+IF(AV$58&lt;=$G$54,AV$58,"")</f>
      </c>
      <c r="D106" s="728"/>
      <c r="E106" s="729"/>
      <c r="F106" s="730"/>
      <c r="G106" s="613"/>
      <c r="H106" s="615"/>
      <c r="I106" s="615"/>
      <c r="J106" s="615"/>
      <c r="K106" s="615"/>
      <c r="L106" s="615"/>
      <c r="M106" s="615"/>
      <c r="N106" s="615"/>
      <c r="O106" s="615"/>
      <c r="P106" s="615"/>
      <c r="Q106" s="615"/>
      <c r="R106" s="615"/>
      <c r="S106" s="615"/>
      <c r="T106" s="615"/>
      <c r="U106" s="615"/>
      <c r="V106" s="615"/>
      <c r="W106" s="615"/>
      <c r="X106" s="615"/>
      <c r="Y106" s="615"/>
      <c r="Z106" s="615"/>
      <c r="AA106" s="615"/>
      <c r="AB106" s="615"/>
      <c r="AC106" s="615"/>
      <c r="AD106" s="615"/>
      <c r="AE106" s="615"/>
      <c r="AF106" s="615"/>
      <c r="AG106" s="615"/>
      <c r="AH106" s="615"/>
      <c r="AI106" s="615"/>
      <c r="AJ106" s="615"/>
      <c r="AK106" s="615"/>
      <c r="AL106" s="615"/>
      <c r="AM106" s="615"/>
      <c r="AN106" s="615"/>
      <c r="AO106" s="615"/>
      <c r="AP106" s="615"/>
      <c r="AQ106" s="615"/>
      <c r="AR106" s="615"/>
      <c r="AS106" s="615"/>
      <c r="AT106" s="615"/>
      <c r="AU106" s="615"/>
      <c r="AV106" s="614">
        <f t="shared" si="31"/>
      </c>
      <c r="AW106" s="614">
        <f t="shared" si="31"/>
      </c>
      <c r="AX106" s="614">
        <f t="shared" si="31"/>
      </c>
      <c r="AY106" s="614">
        <f t="shared" si="31"/>
      </c>
      <c r="AZ106" s="614">
        <f t="shared" si="31"/>
      </c>
      <c r="BA106" s="614">
        <f t="shared" si="31"/>
      </c>
      <c r="BB106" s="614">
        <f t="shared" si="31"/>
      </c>
      <c r="BC106" s="614">
        <f t="shared" si="31"/>
      </c>
      <c r="BD106" s="614">
        <f t="shared" si="31"/>
      </c>
      <c r="BE106" s="614">
        <f t="shared" si="31"/>
      </c>
      <c r="BF106" s="193"/>
    </row>
    <row r="107" spans="2:58" ht="16.5" thickBot="1" thickTop="1">
      <c r="B107" s="57"/>
      <c r="C107" s="624">
        <f>+IF(AW$58&lt;=$G$54,AW$58,"")</f>
      </c>
      <c r="D107" s="728"/>
      <c r="E107" s="729"/>
      <c r="F107" s="730"/>
      <c r="G107" s="613"/>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5"/>
      <c r="AD107" s="615"/>
      <c r="AE107" s="615"/>
      <c r="AF107" s="615"/>
      <c r="AG107" s="615"/>
      <c r="AH107" s="615"/>
      <c r="AI107" s="615"/>
      <c r="AJ107" s="615"/>
      <c r="AK107" s="615"/>
      <c r="AL107" s="615"/>
      <c r="AM107" s="615"/>
      <c r="AN107" s="615"/>
      <c r="AO107" s="615"/>
      <c r="AP107" s="615"/>
      <c r="AQ107" s="615"/>
      <c r="AR107" s="615"/>
      <c r="AS107" s="615"/>
      <c r="AT107" s="615"/>
      <c r="AU107" s="615"/>
      <c r="AV107" s="615"/>
      <c r="AW107" s="614">
        <f t="shared" si="31"/>
      </c>
      <c r="AX107" s="614">
        <f t="shared" si="31"/>
      </c>
      <c r="AY107" s="614">
        <f t="shared" si="31"/>
      </c>
      <c r="AZ107" s="614">
        <f t="shared" si="31"/>
      </c>
      <c r="BA107" s="614">
        <f t="shared" si="31"/>
      </c>
      <c r="BB107" s="614">
        <f t="shared" si="31"/>
      </c>
      <c r="BC107" s="614">
        <f t="shared" si="31"/>
      </c>
      <c r="BD107" s="614">
        <f t="shared" si="31"/>
      </c>
      <c r="BE107" s="614">
        <f t="shared" si="31"/>
      </c>
      <c r="BF107" s="193"/>
    </row>
    <row r="108" spans="2:58" ht="16.5" thickBot="1" thickTop="1">
      <c r="B108" s="57"/>
      <c r="C108" s="624">
        <f>+IF(AX$58&lt;=$G$54,AX$58,"")</f>
      </c>
      <c r="D108" s="728"/>
      <c r="E108" s="729"/>
      <c r="F108" s="730"/>
      <c r="G108" s="613"/>
      <c r="H108" s="615"/>
      <c r="I108" s="615"/>
      <c r="J108" s="615"/>
      <c r="K108" s="615"/>
      <c r="L108" s="615"/>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614">
        <f t="shared" si="31"/>
      </c>
      <c r="AY108" s="614">
        <f t="shared" si="31"/>
      </c>
      <c r="AZ108" s="614">
        <f t="shared" si="31"/>
      </c>
      <c r="BA108" s="614">
        <f t="shared" si="31"/>
      </c>
      <c r="BB108" s="614">
        <f t="shared" si="31"/>
      </c>
      <c r="BC108" s="614">
        <f t="shared" si="31"/>
      </c>
      <c r="BD108" s="614">
        <f t="shared" si="31"/>
      </c>
      <c r="BE108" s="614">
        <f t="shared" si="31"/>
      </c>
      <c r="BF108" s="193"/>
    </row>
    <row r="109" spans="2:58" ht="16.5" thickBot="1" thickTop="1">
      <c r="B109" s="57"/>
      <c r="C109" s="624">
        <f>+IF(AY$58&lt;=$G$54,AY$58,"")</f>
      </c>
      <c r="D109" s="728"/>
      <c r="E109" s="729"/>
      <c r="F109" s="730"/>
      <c r="G109" s="613"/>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c r="AJ109" s="615"/>
      <c r="AK109" s="615"/>
      <c r="AL109" s="615"/>
      <c r="AM109" s="615"/>
      <c r="AN109" s="615"/>
      <c r="AO109" s="615"/>
      <c r="AP109" s="615"/>
      <c r="AQ109" s="615"/>
      <c r="AR109" s="615"/>
      <c r="AS109" s="615"/>
      <c r="AT109" s="615"/>
      <c r="AU109" s="615"/>
      <c r="AV109" s="615"/>
      <c r="AW109" s="615"/>
      <c r="AX109" s="615"/>
      <c r="AY109" s="614">
        <f t="shared" si="31"/>
      </c>
      <c r="AZ109" s="614">
        <f t="shared" si="31"/>
      </c>
      <c r="BA109" s="614">
        <f t="shared" si="31"/>
      </c>
      <c r="BB109" s="614">
        <f t="shared" si="31"/>
      </c>
      <c r="BC109" s="614">
        <f t="shared" si="31"/>
      </c>
      <c r="BD109" s="614">
        <f t="shared" si="31"/>
      </c>
      <c r="BE109" s="614">
        <f t="shared" si="31"/>
      </c>
      <c r="BF109" s="193"/>
    </row>
    <row r="110" spans="2:58" ht="16.5" thickBot="1" thickTop="1">
      <c r="B110" s="57"/>
      <c r="C110" s="624">
        <f>+IF(AZ$58&lt;=$G$54,AZ$58,"")</f>
      </c>
      <c r="D110" s="728"/>
      <c r="E110" s="729"/>
      <c r="F110" s="730"/>
      <c r="G110" s="613"/>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5"/>
      <c r="AJ110" s="615"/>
      <c r="AK110" s="615"/>
      <c r="AL110" s="615"/>
      <c r="AM110" s="615"/>
      <c r="AN110" s="615"/>
      <c r="AO110" s="615"/>
      <c r="AP110" s="615"/>
      <c r="AQ110" s="615"/>
      <c r="AR110" s="615"/>
      <c r="AS110" s="615"/>
      <c r="AT110" s="615"/>
      <c r="AU110" s="615"/>
      <c r="AV110" s="615"/>
      <c r="AW110" s="615"/>
      <c r="AX110" s="615"/>
      <c r="AY110" s="615"/>
      <c r="AZ110" s="614">
        <f t="shared" si="31"/>
      </c>
      <c r="BA110" s="614">
        <f t="shared" si="31"/>
      </c>
      <c r="BB110" s="614">
        <f t="shared" si="31"/>
      </c>
      <c r="BC110" s="614">
        <f t="shared" si="31"/>
      </c>
      <c r="BD110" s="614">
        <f t="shared" si="31"/>
      </c>
      <c r="BE110" s="614">
        <f t="shared" si="31"/>
      </c>
      <c r="BF110" s="193"/>
    </row>
    <row r="111" spans="2:58" ht="16.5" thickBot="1" thickTop="1">
      <c r="B111" s="57"/>
      <c r="C111" s="624">
        <f>+IF(BA$58&lt;=$G$54,BA$58,"")</f>
      </c>
      <c r="D111" s="728"/>
      <c r="E111" s="729"/>
      <c r="F111" s="730"/>
      <c r="G111" s="613"/>
      <c r="H111" s="615"/>
      <c r="I111" s="615"/>
      <c r="J111" s="615"/>
      <c r="K111" s="615"/>
      <c r="L111" s="615"/>
      <c r="M111" s="615"/>
      <c r="N111" s="615"/>
      <c r="O111" s="615"/>
      <c r="P111" s="615"/>
      <c r="Q111" s="615"/>
      <c r="R111" s="615"/>
      <c r="S111" s="615"/>
      <c r="T111" s="615"/>
      <c r="U111" s="615"/>
      <c r="V111" s="615"/>
      <c r="W111" s="615"/>
      <c r="X111" s="615"/>
      <c r="Y111" s="615"/>
      <c r="Z111" s="615"/>
      <c r="AA111" s="615"/>
      <c r="AB111" s="615"/>
      <c r="AC111" s="615"/>
      <c r="AD111" s="615"/>
      <c r="AE111" s="615"/>
      <c r="AF111" s="615"/>
      <c r="AG111" s="615"/>
      <c r="AH111" s="615"/>
      <c r="AI111" s="615"/>
      <c r="AJ111" s="615"/>
      <c r="AK111" s="615"/>
      <c r="AL111" s="615"/>
      <c r="AM111" s="615"/>
      <c r="AN111" s="615"/>
      <c r="AO111" s="615"/>
      <c r="AP111" s="615"/>
      <c r="AQ111" s="615"/>
      <c r="AR111" s="615"/>
      <c r="AS111" s="615"/>
      <c r="AT111" s="615"/>
      <c r="AU111" s="615"/>
      <c r="AV111" s="615"/>
      <c r="AW111" s="615"/>
      <c r="AX111" s="615"/>
      <c r="AY111" s="615"/>
      <c r="AZ111" s="615"/>
      <c r="BA111" s="614">
        <f t="shared" si="31"/>
      </c>
      <c r="BB111" s="614">
        <f t="shared" si="31"/>
      </c>
      <c r="BC111" s="614">
        <f t="shared" si="31"/>
      </c>
      <c r="BD111" s="614">
        <f t="shared" si="31"/>
      </c>
      <c r="BE111" s="614">
        <f t="shared" si="31"/>
      </c>
      <c r="BF111" s="193"/>
    </row>
    <row r="112" spans="2:58" ht="16.5" thickBot="1" thickTop="1">
      <c r="B112" s="57"/>
      <c r="C112" s="624">
        <f>+IF(BB$58&lt;=$G$54,BB$58,"")</f>
      </c>
      <c r="D112" s="728"/>
      <c r="E112" s="729"/>
      <c r="F112" s="730"/>
      <c r="G112" s="613"/>
      <c r="H112" s="615"/>
      <c r="I112" s="615"/>
      <c r="J112" s="615"/>
      <c r="K112" s="615"/>
      <c r="L112" s="615"/>
      <c r="M112" s="615"/>
      <c r="N112" s="615"/>
      <c r="O112" s="615"/>
      <c r="P112" s="615"/>
      <c r="Q112" s="615"/>
      <c r="R112" s="615"/>
      <c r="S112" s="615"/>
      <c r="T112" s="615"/>
      <c r="U112" s="615"/>
      <c r="V112" s="615"/>
      <c r="W112" s="615"/>
      <c r="X112" s="615"/>
      <c r="Y112" s="615"/>
      <c r="Z112" s="615"/>
      <c r="AA112" s="615"/>
      <c r="AB112" s="615"/>
      <c r="AC112" s="615"/>
      <c r="AD112" s="615"/>
      <c r="AE112" s="615"/>
      <c r="AF112" s="615"/>
      <c r="AG112" s="615"/>
      <c r="AH112" s="615"/>
      <c r="AI112" s="615"/>
      <c r="AJ112" s="615"/>
      <c r="AK112" s="615"/>
      <c r="AL112" s="615"/>
      <c r="AM112" s="615"/>
      <c r="AN112" s="615"/>
      <c r="AO112" s="615"/>
      <c r="AP112" s="615"/>
      <c r="AQ112" s="615"/>
      <c r="AR112" s="615"/>
      <c r="AS112" s="615"/>
      <c r="AT112" s="615"/>
      <c r="AU112" s="615"/>
      <c r="AV112" s="615"/>
      <c r="AW112" s="615"/>
      <c r="AX112" s="615"/>
      <c r="AY112" s="615"/>
      <c r="AZ112" s="615"/>
      <c r="BA112" s="615"/>
      <c r="BB112" s="614">
        <f t="shared" si="31"/>
      </c>
      <c r="BC112" s="614">
        <f t="shared" si="31"/>
      </c>
      <c r="BD112" s="614">
        <f t="shared" si="31"/>
      </c>
      <c r="BE112" s="614">
        <f t="shared" si="31"/>
      </c>
      <c r="BF112" s="193"/>
    </row>
    <row r="113" spans="2:58" ht="16.5" thickBot="1" thickTop="1">
      <c r="B113" s="57"/>
      <c r="C113" s="624">
        <f>+IF(BC$58&lt;=$G$54,BC$58,"")</f>
      </c>
      <c r="D113" s="728"/>
      <c r="E113" s="729"/>
      <c r="F113" s="730"/>
      <c r="G113" s="613"/>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c r="AJ113" s="615"/>
      <c r="AK113" s="615"/>
      <c r="AL113" s="615"/>
      <c r="AM113" s="615"/>
      <c r="AN113" s="615"/>
      <c r="AO113" s="615"/>
      <c r="AP113" s="615"/>
      <c r="AQ113" s="615"/>
      <c r="AR113" s="615"/>
      <c r="AS113" s="615"/>
      <c r="AT113" s="615"/>
      <c r="AU113" s="615"/>
      <c r="AV113" s="615"/>
      <c r="AW113" s="615"/>
      <c r="AX113" s="615"/>
      <c r="AY113" s="615"/>
      <c r="AZ113" s="615"/>
      <c r="BA113" s="615"/>
      <c r="BB113" s="615"/>
      <c r="BC113" s="614">
        <f t="shared" si="31"/>
      </c>
      <c r="BD113" s="614">
        <f t="shared" si="31"/>
      </c>
      <c r="BE113" s="614">
        <f t="shared" si="31"/>
      </c>
      <c r="BF113" s="193"/>
    </row>
    <row r="114" spans="2:58" ht="16.5" thickBot="1" thickTop="1">
      <c r="B114" s="57"/>
      <c r="C114" s="624">
        <f>+IF(BD$58&lt;=$G$54,BD$58,"")</f>
      </c>
      <c r="D114" s="728"/>
      <c r="E114" s="729"/>
      <c r="F114" s="730"/>
      <c r="G114" s="613"/>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615"/>
      <c r="AK114" s="615"/>
      <c r="AL114" s="615"/>
      <c r="AM114" s="615"/>
      <c r="AN114" s="615"/>
      <c r="AO114" s="615"/>
      <c r="AP114" s="615"/>
      <c r="AQ114" s="615"/>
      <c r="AR114" s="615"/>
      <c r="AS114" s="615"/>
      <c r="AT114" s="615"/>
      <c r="AU114" s="615"/>
      <c r="AV114" s="615"/>
      <c r="AW114" s="615"/>
      <c r="AX114" s="615"/>
      <c r="AY114" s="615"/>
      <c r="AZ114" s="615"/>
      <c r="BA114" s="615"/>
      <c r="BB114" s="615"/>
      <c r="BC114" s="615"/>
      <c r="BD114" s="614">
        <f t="shared" si="31"/>
      </c>
      <c r="BE114" s="614">
        <f t="shared" si="31"/>
      </c>
      <c r="BF114" s="193"/>
    </row>
    <row r="115" spans="2:58" ht="16.5" thickBot="1" thickTop="1">
      <c r="B115" s="57"/>
      <c r="C115" s="624">
        <f>+IF(BE$58&lt;=$G$54,BE$58,"")</f>
      </c>
      <c r="D115" s="728"/>
      <c r="E115" s="729"/>
      <c r="F115" s="730"/>
      <c r="G115" s="613"/>
      <c r="H115" s="615"/>
      <c r="I115" s="615"/>
      <c r="J115" s="615"/>
      <c r="K115" s="615"/>
      <c r="L115" s="615"/>
      <c r="M115" s="615"/>
      <c r="N115" s="615"/>
      <c r="O115" s="615"/>
      <c r="P115" s="615"/>
      <c r="Q115" s="615"/>
      <c r="R115" s="615"/>
      <c r="S115" s="615"/>
      <c r="T115" s="615"/>
      <c r="U115" s="615"/>
      <c r="V115" s="615"/>
      <c r="W115" s="615"/>
      <c r="X115" s="615"/>
      <c r="Y115" s="615"/>
      <c r="Z115" s="615"/>
      <c r="AA115" s="615"/>
      <c r="AB115" s="615"/>
      <c r="AC115" s="615"/>
      <c r="AD115" s="615"/>
      <c r="AE115" s="615"/>
      <c r="AF115" s="615"/>
      <c r="AG115" s="615"/>
      <c r="AH115" s="615"/>
      <c r="AI115" s="615"/>
      <c r="AJ115" s="615"/>
      <c r="AK115" s="615"/>
      <c r="AL115" s="615"/>
      <c r="AM115" s="615"/>
      <c r="AN115" s="615"/>
      <c r="AO115" s="615"/>
      <c r="AP115" s="615"/>
      <c r="AQ115" s="615"/>
      <c r="AR115" s="615"/>
      <c r="AS115" s="615"/>
      <c r="AT115" s="615"/>
      <c r="AU115" s="615"/>
      <c r="AV115" s="615"/>
      <c r="AW115" s="615"/>
      <c r="AX115" s="615"/>
      <c r="AY115" s="615"/>
      <c r="AZ115" s="615"/>
      <c r="BA115" s="615"/>
      <c r="BB115" s="615"/>
      <c r="BC115" s="615"/>
      <c r="BD115" s="615"/>
      <c r="BE115" s="614">
        <f t="shared" si="31"/>
      </c>
      <c r="BF115" s="193"/>
    </row>
    <row r="116" spans="2:58" ht="16.5" thickBot="1" thickTop="1">
      <c r="B116" s="712"/>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row>
    <row r="117" spans="2:25" ht="18" customHeight="1" thickTop="1">
      <c r="B117" s="709"/>
      <c r="C117" s="709"/>
      <c r="D117" s="713"/>
      <c r="E117" s="714"/>
      <c r="F117" s="714"/>
      <c r="G117" s="714"/>
      <c r="H117" s="714"/>
      <c r="I117" s="714"/>
      <c r="J117" s="994"/>
      <c r="K117" s="995"/>
      <c r="L117" s="995"/>
      <c r="M117" s="995"/>
      <c r="N117" s="715"/>
      <c r="O117" s="716"/>
      <c r="P117" s="706"/>
      <c r="Q117" s="706"/>
      <c r="R117" s="711"/>
      <c r="S117"/>
      <c r="T117"/>
      <c r="U117"/>
      <c r="V117"/>
      <c r="W117"/>
      <c r="X117"/>
      <c r="Y117"/>
    </row>
    <row r="118" ht="18" customHeight="1"/>
    <row r="119" ht="18" customHeight="1"/>
    <row r="120" ht="18" customHeight="1"/>
    <row r="121" ht="18" customHeight="1"/>
    <row r="122" ht="18" customHeight="1"/>
    <row r="123" spans="13:14" ht="18" customHeight="1" thickBot="1">
      <c r="M123" s="707"/>
      <c r="N123" s="707"/>
    </row>
    <row r="124" spans="2:14" ht="102.75" customHeight="1" thickTop="1">
      <c r="B124" s="54"/>
      <c r="C124" s="985" t="s">
        <v>734</v>
      </c>
      <c r="D124" s="986"/>
      <c r="E124" s="986"/>
      <c r="F124" s="986"/>
      <c r="G124" s="227"/>
      <c r="H124" s="55"/>
      <c r="I124" s="55"/>
      <c r="J124" s="55"/>
      <c r="K124" s="55"/>
      <c r="L124" s="55"/>
      <c r="M124" s="224"/>
      <c r="N124" s="56"/>
    </row>
    <row r="125" spans="2:14" ht="27" customHeight="1">
      <c r="B125" s="57"/>
      <c r="C125" s="140" t="s">
        <v>388</v>
      </c>
      <c r="D125" s="191"/>
      <c r="E125" s="191"/>
      <c r="F125" s="191"/>
      <c r="G125" s="65"/>
      <c r="H125" s="65"/>
      <c r="I125" s="65"/>
      <c r="J125" s="65"/>
      <c r="K125" s="65"/>
      <c r="L125" s="65"/>
      <c r="M125" s="224"/>
      <c r="N125" s="58"/>
    </row>
    <row r="126" spans="2:14" ht="27" customHeight="1">
      <c r="B126" s="57"/>
      <c r="C126" s="229" t="s">
        <v>356</v>
      </c>
      <c r="D126" s="191"/>
      <c r="E126" s="191"/>
      <c r="F126" s="191"/>
      <c r="G126" s="65"/>
      <c r="H126" s="65"/>
      <c r="I126" s="65"/>
      <c r="J126" s="65"/>
      <c r="K126" s="65"/>
      <c r="L126" s="65"/>
      <c r="M126" s="224"/>
      <c r="N126" s="58"/>
    </row>
    <row r="127" spans="2:14" ht="19.5" customHeight="1">
      <c r="B127" s="57"/>
      <c r="C127" s="65"/>
      <c r="D127" s="151"/>
      <c r="E127" s="991" t="s">
        <v>507</v>
      </c>
      <c r="F127" s="992"/>
      <c r="G127" s="992"/>
      <c r="H127" s="992"/>
      <c r="I127" s="992"/>
      <c r="J127" s="992"/>
      <c r="K127" s="992"/>
      <c r="L127" s="992"/>
      <c r="M127" s="993"/>
      <c r="N127" s="72"/>
    </row>
    <row r="128" spans="2:14" ht="21" customHeight="1">
      <c r="B128" s="57"/>
      <c r="C128" s="65"/>
      <c r="D128" s="151"/>
      <c r="E128" s="46" t="s">
        <v>447</v>
      </c>
      <c r="F128" s="221" t="s">
        <v>448</v>
      </c>
      <c r="G128" s="222" t="s">
        <v>401</v>
      </c>
      <c r="H128" s="222" t="s">
        <v>407</v>
      </c>
      <c r="I128" s="128" t="s">
        <v>402</v>
      </c>
      <c r="J128" s="222" t="s">
        <v>566</v>
      </c>
      <c r="K128" s="223" t="s">
        <v>406</v>
      </c>
      <c r="L128" s="223" t="s">
        <v>828</v>
      </c>
      <c r="M128" s="223" t="s">
        <v>829</v>
      </c>
      <c r="N128" s="72"/>
    </row>
    <row r="129" spans="2:14" ht="69.75" customHeight="1">
      <c r="B129" s="67"/>
      <c r="C129" s="135"/>
      <c r="D129" s="152"/>
      <c r="E129" s="699" t="s">
        <v>428</v>
      </c>
      <c r="F129" s="165" t="s">
        <v>722</v>
      </c>
      <c r="G129" s="5" t="s">
        <v>357</v>
      </c>
      <c r="H129" s="5" t="s">
        <v>725</v>
      </c>
      <c r="I129" s="5" t="s">
        <v>724</v>
      </c>
      <c r="J129" s="165" t="s">
        <v>743</v>
      </c>
      <c r="K129" s="8" t="s">
        <v>726</v>
      </c>
      <c r="L129" s="701" t="s">
        <v>101</v>
      </c>
      <c r="M129" s="701" t="s">
        <v>103</v>
      </c>
      <c r="N129" s="73"/>
    </row>
    <row r="130" spans="2:14" ht="45" customHeight="1">
      <c r="B130" s="57"/>
      <c r="C130" s="65"/>
      <c r="D130" s="151"/>
      <c r="E130" s="700"/>
      <c r="F130" s="166"/>
      <c r="G130" s="6"/>
      <c r="H130" s="6"/>
      <c r="I130" s="8"/>
      <c r="J130" s="8" t="s">
        <v>359</v>
      </c>
      <c r="K130" s="136" t="s">
        <v>358</v>
      </c>
      <c r="L130" s="136" t="s">
        <v>110</v>
      </c>
      <c r="M130" s="136" t="s">
        <v>111</v>
      </c>
      <c r="N130" s="73"/>
    </row>
    <row r="131" spans="2:14" ht="15.75" customHeight="1">
      <c r="B131" s="57"/>
      <c r="C131" s="65" t="s">
        <v>360</v>
      </c>
      <c r="D131" s="153" t="s">
        <v>361</v>
      </c>
      <c r="E131" s="705">
        <v>0.7</v>
      </c>
      <c r="F131" s="69">
        <v>1000</v>
      </c>
      <c r="G131" s="69">
        <v>0.9</v>
      </c>
      <c r="H131" s="69">
        <v>0.5</v>
      </c>
      <c r="I131" s="192">
        <v>0.5</v>
      </c>
      <c r="J131" s="84">
        <f>((F131/G131)*(1-G131)*I131)+(F131*I131*(1-H131))</f>
        <v>305.55555555555554</v>
      </c>
      <c r="K131" s="197">
        <f>J131*0.72/1000</f>
        <v>0.21999999999999997</v>
      </c>
      <c r="L131" s="192">
        <f>E131*K131</f>
        <v>0.15399999999999997</v>
      </c>
      <c r="M131" s="192">
        <f>(1-E131)*K131</f>
        <v>0.066</v>
      </c>
      <c r="N131" s="70"/>
    </row>
    <row r="132" spans="2:14" ht="23.25" customHeight="1">
      <c r="B132" s="82"/>
      <c r="C132" s="41" t="s">
        <v>810</v>
      </c>
      <c r="D132" s="154" t="s">
        <v>677</v>
      </c>
      <c r="E132" s="704"/>
      <c r="F132" s="12"/>
      <c r="G132" s="11"/>
      <c r="H132" s="36"/>
      <c r="I132" s="138"/>
      <c r="J132" s="36"/>
      <c r="K132" s="12"/>
      <c r="L132" s="138"/>
      <c r="M132" s="12"/>
      <c r="N132" s="74"/>
    </row>
    <row r="133" spans="2:14" ht="17.25" customHeight="1">
      <c r="B133" s="57"/>
      <c r="C133" s="748"/>
      <c r="D133" s="749"/>
      <c r="E133" s="723"/>
      <c r="F133" s="721"/>
      <c r="G133" s="720"/>
      <c r="H133" s="720"/>
      <c r="I133" s="720"/>
      <c r="J133" s="219">
        <f>IF(G133=0,0,((F133/G133)*(1-G133)*I133)+(F133*I133*(1-H133)))</f>
        <v>0</v>
      </c>
      <c r="K133" s="220">
        <f>J133*0.72/1000</f>
        <v>0</v>
      </c>
      <c r="L133" s="134">
        <f>E133*K133</f>
        <v>0</v>
      </c>
      <c r="M133" s="134">
        <f>(1-E133)*K133</f>
        <v>0</v>
      </c>
      <c r="N133" s="75"/>
    </row>
    <row r="134" spans="2:14" ht="18.75" customHeight="1">
      <c r="B134" s="57"/>
      <c r="C134" s="748"/>
      <c r="D134" s="749"/>
      <c r="E134" s="723"/>
      <c r="F134" s="721"/>
      <c r="G134" s="720"/>
      <c r="H134" s="720"/>
      <c r="I134" s="720"/>
      <c r="J134" s="219">
        <f>IF(G134=0,0,((F134/G134)*(1-G134)*I134)+(F134*I134*(1-H134)))</f>
        <v>0</v>
      </c>
      <c r="K134" s="220">
        <f>J134*0.72/1000</f>
        <v>0</v>
      </c>
      <c r="L134" s="134">
        <f>E134*K134</f>
        <v>0</v>
      </c>
      <c r="M134" s="134">
        <f>(1-E134)*K134</f>
        <v>0</v>
      </c>
      <c r="N134" s="75"/>
    </row>
    <row r="135" spans="2:14" ht="18" customHeight="1">
      <c r="B135" s="57"/>
      <c r="C135" s="748"/>
      <c r="D135" s="749"/>
      <c r="E135" s="723"/>
      <c r="F135" s="721"/>
      <c r="G135" s="720"/>
      <c r="H135" s="720"/>
      <c r="I135" s="720"/>
      <c r="J135" s="219">
        <f>IF(G135=0,0,((F135/G135)*(1-G135)*I135)+(F135*I135*(1-H135)))</f>
        <v>0</v>
      </c>
      <c r="K135" s="220">
        <f>J135*0.72/1000</f>
        <v>0</v>
      </c>
      <c r="L135" s="134">
        <f>E135*K135</f>
        <v>0</v>
      </c>
      <c r="M135" s="134">
        <f>(1-E135)*K135</f>
        <v>0</v>
      </c>
      <c r="N135" s="75"/>
    </row>
    <row r="136" spans="2:14" ht="18" customHeight="1">
      <c r="B136" s="57"/>
      <c r="C136" s="748"/>
      <c r="D136" s="751"/>
      <c r="E136" s="724"/>
      <c r="F136" s="721"/>
      <c r="G136" s="720"/>
      <c r="H136" s="720"/>
      <c r="I136" s="720"/>
      <c r="J136" s="219">
        <f>IF(G136=0,0,((F136/G136)*(1-G136)*I136)+(F136*I136*(1-H136)))</f>
        <v>0</v>
      </c>
      <c r="K136" s="220">
        <f>J136*0.72/1000</f>
        <v>0</v>
      </c>
      <c r="L136" s="134">
        <f>E136*K136</f>
        <v>0</v>
      </c>
      <c r="M136" s="134">
        <f>(1-E136)*K136</f>
        <v>0</v>
      </c>
      <c r="N136" s="75"/>
    </row>
    <row r="137" spans="2:14" ht="16.5" customHeight="1">
      <c r="B137" s="57"/>
      <c r="C137" s="748"/>
      <c r="D137" s="749"/>
      <c r="E137" s="723"/>
      <c r="F137" s="721"/>
      <c r="G137" s="720"/>
      <c r="H137" s="720"/>
      <c r="I137" s="720"/>
      <c r="J137" s="219">
        <f>IF(G137=0,0,((F137/G137)*(1-G137)*I137)+(F137*I137*(1-H137)))</f>
        <v>0</v>
      </c>
      <c r="K137" s="220">
        <f>J137*0.72/1000</f>
        <v>0</v>
      </c>
      <c r="L137" s="134">
        <f>E137*K137</f>
        <v>0</v>
      </c>
      <c r="M137" s="134">
        <f>(1-E137)*K137</f>
        <v>0</v>
      </c>
      <c r="N137" s="75"/>
    </row>
    <row r="138" spans="2:14" ht="30.75" customHeight="1">
      <c r="B138" s="78"/>
      <c r="C138" s="79"/>
      <c r="D138" s="155"/>
      <c r="E138" s="155"/>
      <c r="F138" s="155"/>
      <c r="G138" s="155"/>
      <c r="H138" s="155"/>
      <c r="I138" s="79"/>
      <c r="J138" s="79"/>
      <c r="K138" s="140"/>
      <c r="L138" s="224"/>
      <c r="M138" s="224"/>
      <c r="N138" s="76"/>
    </row>
    <row r="139" spans="2:14" ht="20.25" customHeight="1" thickBot="1">
      <c r="B139" s="193"/>
      <c r="C139" s="194"/>
      <c r="D139" s="194"/>
      <c r="E139" s="195"/>
      <c r="F139" s="979" t="s">
        <v>364</v>
      </c>
      <c r="G139" s="980"/>
      <c r="H139" s="980"/>
      <c r="I139" s="980"/>
      <c r="J139" s="980"/>
      <c r="K139" s="981"/>
      <c r="L139" s="190">
        <f>SUM(L133:L137)</f>
        <v>0</v>
      </c>
      <c r="M139" s="190">
        <f>SUM(M133:M137)</f>
        <v>0</v>
      </c>
      <c r="N139" s="225" t="s">
        <v>76</v>
      </c>
    </row>
    <row r="140" spans="2:13" ht="47.25" customHeight="1" thickTop="1">
      <c r="B140" s="54"/>
      <c r="C140" s="989" t="s">
        <v>391</v>
      </c>
      <c r="D140" s="986"/>
      <c r="E140" s="986"/>
      <c r="F140" s="986"/>
      <c r="G140" s="227"/>
      <c r="H140" s="55"/>
      <c r="I140" s="55"/>
      <c r="J140" s="55"/>
      <c r="K140" s="55"/>
      <c r="L140" s="55"/>
      <c r="M140" s="56"/>
    </row>
    <row r="141" spans="2:13" ht="18" customHeight="1">
      <c r="B141" s="57"/>
      <c r="C141" s="99"/>
      <c r="D141" s="191"/>
      <c r="E141" s="191"/>
      <c r="F141" s="191"/>
      <c r="G141" s="191"/>
      <c r="H141" s="65"/>
      <c r="I141" s="65"/>
      <c r="J141" s="65"/>
      <c r="K141" s="65"/>
      <c r="L141" s="65"/>
      <c r="M141" s="58"/>
    </row>
    <row r="142" spans="2:13" ht="18" customHeight="1">
      <c r="B142" s="57"/>
      <c r="C142" s="99"/>
      <c r="D142" s="191"/>
      <c r="E142" s="988" t="s">
        <v>507</v>
      </c>
      <c r="F142" s="978"/>
      <c r="G142" s="978"/>
      <c r="H142" s="978"/>
      <c r="I142" s="978"/>
      <c r="J142" s="978"/>
      <c r="K142" s="978"/>
      <c r="L142" s="978"/>
      <c r="M142" s="58"/>
    </row>
    <row r="143" spans="2:13" ht="18" customHeight="1">
      <c r="B143" s="57"/>
      <c r="C143" s="65"/>
      <c r="D143" s="151"/>
      <c r="E143" s="46" t="s">
        <v>447</v>
      </c>
      <c r="F143" s="164" t="s">
        <v>448</v>
      </c>
      <c r="G143" s="3" t="s">
        <v>401</v>
      </c>
      <c r="H143" s="3" t="s">
        <v>407</v>
      </c>
      <c r="I143" s="3" t="s">
        <v>402</v>
      </c>
      <c r="J143" s="129" t="s">
        <v>403</v>
      </c>
      <c r="K143" s="129" t="s">
        <v>226</v>
      </c>
      <c r="L143" s="129" t="s">
        <v>231</v>
      </c>
      <c r="M143" s="72"/>
    </row>
    <row r="144" spans="2:14" ht="147" customHeight="1">
      <c r="B144" s="67"/>
      <c r="C144" s="135"/>
      <c r="D144" s="152"/>
      <c r="E144" s="699" t="s">
        <v>428</v>
      </c>
      <c r="F144" s="165" t="s">
        <v>366</v>
      </c>
      <c r="G144" s="5" t="s">
        <v>369</v>
      </c>
      <c r="H144" s="5" t="s">
        <v>370</v>
      </c>
      <c r="I144" s="165" t="s">
        <v>371</v>
      </c>
      <c r="J144" s="8" t="s">
        <v>726</v>
      </c>
      <c r="K144" s="701" t="s">
        <v>101</v>
      </c>
      <c r="L144" s="701" t="s">
        <v>103</v>
      </c>
      <c r="M144" s="224"/>
      <c r="N144" s="621"/>
    </row>
    <row r="145" spans="2:13" ht="20.25" customHeight="1">
      <c r="B145" s="57"/>
      <c r="C145" s="65"/>
      <c r="D145" s="151"/>
      <c r="E145" s="700"/>
      <c r="F145" s="187"/>
      <c r="G145" s="8"/>
      <c r="H145" s="8"/>
      <c r="I145" s="8" t="s">
        <v>798</v>
      </c>
      <c r="J145" s="136" t="s">
        <v>372</v>
      </c>
      <c r="K145" s="136" t="s">
        <v>112</v>
      </c>
      <c r="L145" s="136" t="s">
        <v>113</v>
      </c>
      <c r="M145" s="73"/>
    </row>
    <row r="146" spans="2:13" ht="18" customHeight="1">
      <c r="B146" s="57"/>
      <c r="C146" s="65" t="s">
        <v>365</v>
      </c>
      <c r="D146" s="153" t="s">
        <v>361</v>
      </c>
      <c r="E146" s="705">
        <v>0.7</v>
      </c>
      <c r="F146" s="69">
        <v>3000000</v>
      </c>
      <c r="G146" s="69">
        <v>0.25</v>
      </c>
      <c r="H146" s="69">
        <v>600000</v>
      </c>
      <c r="I146" s="137">
        <f>F146*G146-H146</f>
        <v>150000</v>
      </c>
      <c r="J146" s="189">
        <f>I146/1000</f>
        <v>150</v>
      </c>
      <c r="K146" s="137">
        <f>E146*J146</f>
        <v>105</v>
      </c>
      <c r="L146" s="137">
        <f>(1-E146)*J146</f>
        <v>45.00000000000001</v>
      </c>
      <c r="M146" s="70"/>
    </row>
    <row r="147" spans="2:13" ht="18" customHeight="1">
      <c r="B147" s="82"/>
      <c r="C147" s="41" t="s">
        <v>810</v>
      </c>
      <c r="D147" s="154" t="s">
        <v>677</v>
      </c>
      <c r="E147" s="704"/>
      <c r="F147" s="12"/>
      <c r="G147" s="11"/>
      <c r="H147" s="36"/>
      <c r="I147" s="36"/>
      <c r="J147" s="12"/>
      <c r="K147" s="138"/>
      <c r="L147" s="12"/>
      <c r="M147" s="74"/>
    </row>
    <row r="148" spans="2:13" ht="18" customHeight="1">
      <c r="B148" s="57"/>
      <c r="C148" s="748"/>
      <c r="D148" s="749"/>
      <c r="E148" s="723"/>
      <c r="F148" s="718"/>
      <c r="G148" s="720"/>
      <c r="H148" s="720"/>
      <c r="I148" s="139">
        <f>F148*G148-H148</f>
        <v>0</v>
      </c>
      <c r="J148" s="139">
        <f>I148/1000</f>
        <v>0</v>
      </c>
      <c r="K148" s="134">
        <f>E148*J148</f>
        <v>0</v>
      </c>
      <c r="L148" s="134">
        <f>(1-E148)*J148</f>
        <v>0</v>
      </c>
      <c r="M148" s="75"/>
    </row>
    <row r="149" spans="2:13" ht="18" customHeight="1">
      <c r="B149" s="57"/>
      <c r="C149" s="748"/>
      <c r="D149" s="749"/>
      <c r="E149" s="723"/>
      <c r="F149" s="721"/>
      <c r="G149" s="720"/>
      <c r="H149" s="720"/>
      <c r="I149" s="139">
        <f>F149*G149-H149</f>
        <v>0</v>
      </c>
      <c r="J149" s="139">
        <f>I149/1000</f>
        <v>0</v>
      </c>
      <c r="K149" s="134">
        <f>E149*J149</f>
        <v>0</v>
      </c>
      <c r="L149" s="134">
        <f>(1-E149)*J149</f>
        <v>0</v>
      </c>
      <c r="M149" s="75"/>
    </row>
    <row r="150" spans="2:13" ht="18" customHeight="1">
      <c r="B150" s="57"/>
      <c r="C150" s="748"/>
      <c r="D150" s="749"/>
      <c r="E150" s="723"/>
      <c r="F150" s="721"/>
      <c r="G150" s="720"/>
      <c r="H150" s="720"/>
      <c r="I150" s="139">
        <f>F150*G150-H150</f>
        <v>0</v>
      </c>
      <c r="J150" s="139">
        <f>I150/1000</f>
        <v>0</v>
      </c>
      <c r="K150" s="134">
        <f>E150*J150</f>
        <v>0</v>
      </c>
      <c r="L150" s="134">
        <f>(1-E150)*J150</f>
        <v>0</v>
      </c>
      <c r="M150" s="75"/>
    </row>
    <row r="151" spans="2:13" ht="18" customHeight="1">
      <c r="B151" s="57"/>
      <c r="C151" s="748"/>
      <c r="D151" s="751"/>
      <c r="E151" s="724"/>
      <c r="F151" s="721"/>
      <c r="G151" s="720"/>
      <c r="H151" s="720"/>
      <c r="I151" s="139">
        <f>F151*G151-H151</f>
        <v>0</v>
      </c>
      <c r="J151" s="139">
        <f>I151/1000</f>
        <v>0</v>
      </c>
      <c r="K151" s="134">
        <f>E151*J151</f>
        <v>0</v>
      </c>
      <c r="L151" s="134">
        <f>(1-E151)*J151</f>
        <v>0</v>
      </c>
      <c r="M151" s="75"/>
    </row>
    <row r="152" spans="2:13" ht="18" customHeight="1">
      <c r="B152" s="57"/>
      <c r="C152" s="748"/>
      <c r="D152" s="749"/>
      <c r="E152" s="723"/>
      <c r="F152" s="721"/>
      <c r="G152" s="720"/>
      <c r="H152" s="720"/>
      <c r="I152" s="139">
        <f>F152*G152-H152</f>
        <v>0</v>
      </c>
      <c r="J152" s="139">
        <f>I152/1000</f>
        <v>0</v>
      </c>
      <c r="K152" s="134">
        <f>E152*J152</f>
        <v>0</v>
      </c>
      <c r="L152" s="134">
        <f>(1-E152)*J152</f>
        <v>0</v>
      </c>
      <c r="M152" s="75"/>
    </row>
    <row r="153" spans="2:13" ht="18" customHeight="1">
      <c r="B153" s="78"/>
      <c r="C153" s="79"/>
      <c r="D153" s="155"/>
      <c r="E153" s="155"/>
      <c r="F153" s="155"/>
      <c r="G153" s="155"/>
      <c r="H153" s="79"/>
      <c r="I153" s="79"/>
      <c r="J153" s="140"/>
      <c r="K153" s="140"/>
      <c r="L153" s="140"/>
      <c r="M153" s="76"/>
    </row>
    <row r="154" spans="2:13" ht="18" customHeight="1" thickBot="1">
      <c r="B154" s="193"/>
      <c r="C154" s="194"/>
      <c r="D154" s="194"/>
      <c r="E154" s="979" t="s">
        <v>373</v>
      </c>
      <c r="F154" s="980"/>
      <c r="G154" s="980"/>
      <c r="H154" s="980"/>
      <c r="I154" s="980"/>
      <c r="J154" s="981"/>
      <c r="K154" s="190">
        <f>SUM(K148:K152)</f>
        <v>0</v>
      </c>
      <c r="L154" s="190">
        <f>SUM(L148:L152)</f>
        <v>0</v>
      </c>
      <c r="M154" s="196" t="s">
        <v>76</v>
      </c>
    </row>
    <row r="155" spans="2:12" ht="18" customHeight="1" thickTop="1">
      <c r="B155" s="214"/>
      <c r="C155" s="215"/>
      <c r="D155" s="216"/>
      <c r="E155" s="226"/>
      <c r="F155" s="227"/>
      <c r="G155" s="227"/>
      <c r="H155" s="227"/>
      <c r="I155" s="227"/>
      <c r="J155" s="228"/>
      <c r="K155" s="228"/>
      <c r="L155" s="218"/>
    </row>
    <row r="156" spans="2:12" ht="18" customHeight="1">
      <c r="B156" s="78"/>
      <c r="C156" s="140" t="s">
        <v>387</v>
      </c>
      <c r="D156" s="155"/>
      <c r="E156" s="140"/>
      <c r="F156" s="140"/>
      <c r="G156" s="140"/>
      <c r="H156" s="140"/>
      <c r="I156" s="140"/>
      <c r="J156" s="140"/>
      <c r="K156" s="140"/>
      <c r="L156" s="98"/>
    </row>
    <row r="157" spans="2:12" ht="18" customHeight="1">
      <c r="B157" s="78"/>
      <c r="C157" s="140"/>
      <c r="D157" s="155"/>
      <c r="E157" s="140"/>
      <c r="F157" s="140"/>
      <c r="G157" s="140"/>
      <c r="H157" s="140"/>
      <c r="I157" s="140"/>
      <c r="J157" s="658" t="s">
        <v>275</v>
      </c>
      <c r="K157" s="658" t="s">
        <v>276</v>
      </c>
      <c r="L157" s="98"/>
    </row>
    <row r="158" spans="2:12" ht="18" customHeight="1">
      <c r="B158" s="78"/>
      <c r="C158" s="224"/>
      <c r="D158" s="987" t="s">
        <v>385</v>
      </c>
      <c r="E158" s="978"/>
      <c r="F158" s="978"/>
      <c r="G158" s="978"/>
      <c r="H158" s="978"/>
      <c r="I158" s="978"/>
      <c r="J158" s="141">
        <f>(L139+K154)</f>
        <v>0</v>
      </c>
      <c r="K158" s="141">
        <f>(M139+L154)</f>
        <v>0</v>
      </c>
      <c r="L158" s="98" t="s">
        <v>76</v>
      </c>
    </row>
    <row r="159" spans="2:12" ht="18" customHeight="1" thickBot="1">
      <c r="B159" s="193"/>
      <c r="C159" s="194"/>
      <c r="D159" s="195"/>
      <c r="E159" s="199"/>
      <c r="F159" s="199"/>
      <c r="G159" s="199"/>
      <c r="H159" s="199"/>
      <c r="I159" s="199"/>
      <c r="J159" s="199"/>
      <c r="K159" s="199"/>
      <c r="L159" s="196"/>
    </row>
    <row r="160" ht="18" customHeight="1" thickTop="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c r="Q351"/>
    </row>
    <row r="352" ht="12.75">
      <c r="Q352"/>
    </row>
    <row r="353" ht="12.75">
      <c r="Q353"/>
    </row>
    <row r="354" ht="12.75">
      <c r="Q354"/>
    </row>
    <row r="355" ht="12.75">
      <c r="Q355"/>
    </row>
  </sheetData>
  <sheetProtection password="CD08" sheet="1" objects="1" scenarios="1"/>
  <mergeCells count="24">
    <mergeCell ref="E154:J154"/>
    <mergeCell ref="I29:L29"/>
    <mergeCell ref="J117:M117"/>
    <mergeCell ref="K47:N47"/>
    <mergeCell ref="C124:F124"/>
    <mergeCell ref="B9:C9"/>
    <mergeCell ref="B10:C10"/>
    <mergeCell ref="B11:C11"/>
    <mergeCell ref="D158:I158"/>
    <mergeCell ref="E142:L142"/>
    <mergeCell ref="C140:F140"/>
    <mergeCell ref="E17:N17"/>
    <mergeCell ref="E33:K33"/>
    <mergeCell ref="E127:M127"/>
    <mergeCell ref="L33:O33"/>
    <mergeCell ref="C31:L31"/>
    <mergeCell ref="D56:F56"/>
    <mergeCell ref="D57:F57"/>
    <mergeCell ref="B5:J5"/>
    <mergeCell ref="F139:K139"/>
    <mergeCell ref="C15:G15"/>
    <mergeCell ref="C14:G14"/>
    <mergeCell ref="C50:L50"/>
    <mergeCell ref="K45:N45"/>
  </mergeCells>
  <printOptions/>
  <pageMargins left="0.75" right="0.75" top="0.64" bottom="0.64" header="0.5" footer="0.5"/>
  <pageSetup fitToHeight="2" fitToWidth="1" horizontalDpi="600" verticalDpi="600" orientation="landscape" scale="38" r:id="rId1"/>
  <headerFooter alignWithMargins="0">
    <oddHeader>&amp;L&amp;D&amp;R&amp;F</oddHeader>
  </headerFooter>
</worksheet>
</file>

<file path=xl/worksheets/sheet7.xml><?xml version="1.0" encoding="utf-8"?>
<worksheet xmlns="http://schemas.openxmlformats.org/spreadsheetml/2006/main" xmlns:r="http://schemas.openxmlformats.org/officeDocument/2006/relationships">
  <sheetPr>
    <pageSetUpPr fitToPage="1"/>
  </sheetPr>
  <dimension ref="A2:M27"/>
  <sheetViews>
    <sheetView zoomScale="75" zoomScaleNormal="75" zoomScalePageLayoutView="0" workbookViewId="0" topLeftCell="A1">
      <selection activeCell="A1" sqref="A1"/>
    </sheetView>
  </sheetViews>
  <sheetFormatPr defaultColWidth="9.140625" defaultRowHeight="12.75"/>
  <cols>
    <col min="1" max="1" width="7.28125" style="0" customWidth="1"/>
    <col min="2" max="2" width="5.00390625" style="0" customWidth="1"/>
    <col min="3" max="3" width="18.57421875" style="0" customWidth="1"/>
    <col min="4" max="4" width="31.421875" style="0" customWidth="1"/>
    <col min="5" max="5" width="33.00390625" style="0" customWidth="1"/>
    <col min="6" max="6" width="24.140625" style="0" customWidth="1"/>
    <col min="7" max="7" width="5.00390625" style="0" customWidth="1"/>
    <col min="8" max="8" width="13.00390625" style="0" customWidth="1"/>
    <col min="9" max="12" width="9.140625" style="0" hidden="1" customWidth="1"/>
  </cols>
  <sheetData>
    <row r="2" spans="2:13" ht="33" customHeight="1">
      <c r="B2" s="946" t="s">
        <v>355</v>
      </c>
      <c r="C2" s="947"/>
      <c r="D2" s="947"/>
      <c r="E2" s="947"/>
      <c r="F2" s="947"/>
      <c r="G2" s="947"/>
      <c r="H2" s="948"/>
      <c r="I2" s="948"/>
      <c r="J2" s="949"/>
      <c r="K2" s="920"/>
      <c r="L2" s="920"/>
      <c r="M2" s="920"/>
    </row>
    <row r="4" spans="3:7" ht="41.25" customHeight="1">
      <c r="C4" s="998" t="s">
        <v>435</v>
      </c>
      <c r="D4" s="998"/>
      <c r="E4" s="998"/>
      <c r="F4" s="998"/>
      <c r="G4" s="998"/>
    </row>
    <row r="5" ht="13.5" thickBot="1"/>
    <row r="6" spans="2:7" ht="39.75" customHeight="1" thickTop="1">
      <c r="B6" s="54"/>
      <c r="C6" s="989" t="s">
        <v>436</v>
      </c>
      <c r="D6" s="989"/>
      <c r="E6" s="989"/>
      <c r="F6" s="989"/>
      <c r="G6" s="999"/>
    </row>
    <row r="7" spans="2:7" ht="21.75" customHeight="1">
      <c r="B7" s="57"/>
      <c r="C7" s="65"/>
      <c r="D7" s="65"/>
      <c r="E7" s="65"/>
      <c r="F7" s="65"/>
      <c r="G7" s="58"/>
    </row>
    <row r="8" spans="2:7" s="231" customFormat="1" ht="47.25" customHeight="1">
      <c r="B8" s="88"/>
      <c r="C8" s="232" t="s">
        <v>394</v>
      </c>
      <c r="D8" s="233" t="s">
        <v>397</v>
      </c>
      <c r="E8" s="233" t="s">
        <v>395</v>
      </c>
      <c r="F8" s="233" t="s">
        <v>396</v>
      </c>
      <c r="G8" s="85"/>
    </row>
    <row r="9" spans="2:7" ht="12.75">
      <c r="B9" s="57"/>
      <c r="C9" s="234" t="s">
        <v>398</v>
      </c>
      <c r="D9" s="731"/>
      <c r="E9" s="235">
        <v>0.415</v>
      </c>
      <c r="F9" s="606">
        <f>D9*E9</f>
        <v>0</v>
      </c>
      <c r="G9" s="58"/>
    </row>
    <row r="10" spans="2:7" ht="12.75">
      <c r="B10" s="57"/>
      <c r="C10" s="234" t="s">
        <v>570</v>
      </c>
      <c r="D10" s="731"/>
      <c r="E10" s="236">
        <v>0.44</v>
      </c>
      <c r="F10" s="606">
        <f>D10*E10</f>
        <v>0</v>
      </c>
      <c r="G10" s="58"/>
    </row>
    <row r="11" spans="2:7" ht="12.75">
      <c r="B11" s="57"/>
      <c r="C11" s="65"/>
      <c r="D11" s="65"/>
      <c r="E11" s="237" t="s">
        <v>443</v>
      </c>
      <c r="F11" s="606">
        <f>F10+F9</f>
        <v>0</v>
      </c>
      <c r="G11" s="58"/>
    </row>
    <row r="12" spans="2:7" ht="14.25" customHeight="1">
      <c r="B12" s="57"/>
      <c r="C12" s="65"/>
      <c r="D12" s="65"/>
      <c r="E12" s="65"/>
      <c r="F12" s="65"/>
      <c r="G12" s="58"/>
    </row>
    <row r="13" spans="2:7" ht="111.75" customHeight="1" thickBot="1">
      <c r="B13" s="1000" t="s">
        <v>571</v>
      </c>
      <c r="C13" s="1001"/>
      <c r="D13" s="1001"/>
      <c r="E13" s="1001"/>
      <c r="F13" s="1001"/>
      <c r="G13" s="1002"/>
    </row>
    <row r="14" ht="15" thickTop="1">
      <c r="A14" s="513"/>
    </row>
    <row r="15" ht="15" thickBot="1">
      <c r="A15" s="513"/>
    </row>
    <row r="16" spans="2:7" ht="39.75" customHeight="1" thickTop="1">
      <c r="B16" s="54"/>
      <c r="C16" s="1003" t="s">
        <v>437</v>
      </c>
      <c r="D16" s="1003"/>
      <c r="E16" s="1003"/>
      <c r="F16" s="1003"/>
      <c r="G16" s="1004"/>
    </row>
    <row r="17" spans="2:7" ht="21.75" customHeight="1">
      <c r="B17" s="57"/>
      <c r="C17" s="65"/>
      <c r="D17" s="65"/>
      <c r="E17" s="65"/>
      <c r="F17" s="65"/>
      <c r="G17" s="58"/>
    </row>
    <row r="18" spans="2:7" s="231" customFormat="1" ht="47.25" customHeight="1">
      <c r="B18" s="88"/>
      <c r="C18" s="232" t="s">
        <v>394</v>
      </c>
      <c r="D18" s="233" t="s">
        <v>438</v>
      </c>
      <c r="E18" s="233" t="s">
        <v>395</v>
      </c>
      <c r="F18" s="233" t="s">
        <v>396</v>
      </c>
      <c r="G18" s="85"/>
    </row>
    <row r="19" spans="2:7" ht="12.75">
      <c r="B19" s="57"/>
      <c r="C19" s="234" t="s">
        <v>439</v>
      </c>
      <c r="D19" s="731"/>
      <c r="E19" s="236">
        <v>0.44</v>
      </c>
      <c r="F19" s="606">
        <f>D19*E19</f>
        <v>0</v>
      </c>
      <c r="G19" s="58"/>
    </row>
    <row r="20" spans="2:7" ht="12.75">
      <c r="B20" s="57"/>
      <c r="C20" s="234" t="s">
        <v>440</v>
      </c>
      <c r="D20" s="731"/>
      <c r="E20" s="236">
        <v>0.477</v>
      </c>
      <c r="F20" s="606">
        <f>D20*E20</f>
        <v>0</v>
      </c>
      <c r="G20" s="58"/>
    </row>
    <row r="21" spans="2:7" ht="12.75">
      <c r="B21" s="57"/>
      <c r="C21" s="65"/>
      <c r="D21" s="65"/>
      <c r="E21" s="237" t="s">
        <v>441</v>
      </c>
      <c r="F21" s="606">
        <f>F20+F19</f>
        <v>0</v>
      </c>
      <c r="G21" s="58"/>
    </row>
    <row r="22" spans="2:7" ht="14.25" customHeight="1">
      <c r="B22" s="57"/>
      <c r="C22" s="65"/>
      <c r="D22" s="65"/>
      <c r="E22" s="65"/>
      <c r="F22" s="65"/>
      <c r="G22" s="58"/>
    </row>
    <row r="23" spans="2:7" ht="111.75" customHeight="1" thickBot="1">
      <c r="B23" s="1000" t="s">
        <v>442</v>
      </c>
      <c r="C23" s="1001"/>
      <c r="D23" s="1001"/>
      <c r="E23" s="1001"/>
      <c r="F23" s="1001"/>
      <c r="G23" s="1002"/>
    </row>
    <row r="24" ht="15" thickTop="1">
      <c r="A24" s="513"/>
    </row>
    <row r="27" spans="2:13" s="31" customFormat="1" ht="10.5" customHeight="1">
      <c r="B27" s="997"/>
      <c r="C27" s="982"/>
      <c r="D27" s="982"/>
      <c r="E27" s="982"/>
      <c r="F27" s="982"/>
      <c r="G27" s="982"/>
      <c r="H27" s="982"/>
      <c r="I27" s="982"/>
      <c r="J27" s="982"/>
      <c r="K27" s="982"/>
      <c r="L27" s="982"/>
      <c r="M27" s="982"/>
    </row>
  </sheetData>
  <sheetProtection password="CD08" sheet="1" objects="1" scenarios="1"/>
  <mergeCells count="7">
    <mergeCell ref="B27:M27"/>
    <mergeCell ref="C4:G4"/>
    <mergeCell ref="C6:G6"/>
    <mergeCell ref="B2:M2"/>
    <mergeCell ref="B13:G13"/>
    <mergeCell ref="C16:G16"/>
    <mergeCell ref="B23:G23"/>
  </mergeCells>
  <printOptions horizontalCentered="1"/>
  <pageMargins left="0.75" right="0.75" top="1" bottom="1" header="0.5" footer="0.5"/>
  <pageSetup fitToHeight="1" fitToWidth="1" horizontalDpi="600" verticalDpi="600" orientation="portrait" scale="77" r:id="rId1"/>
  <headerFooter alignWithMargins="0">
    <oddHeader>&amp;L&amp;D&amp;R&amp;F</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R36"/>
  <sheetViews>
    <sheetView zoomScale="75" zoomScaleNormal="75" zoomScalePageLayoutView="0" workbookViewId="0" topLeftCell="A1">
      <selection activeCell="A1" sqref="A1"/>
    </sheetView>
  </sheetViews>
  <sheetFormatPr defaultColWidth="9.7109375" defaultRowHeight="12.75"/>
  <cols>
    <col min="1" max="1" width="3.57421875" style="4" customWidth="1"/>
    <col min="2" max="2" width="9.140625" style="4" customWidth="1"/>
    <col min="3" max="3" width="3.8515625" style="4" customWidth="1"/>
    <col min="4" max="4" width="18.140625" style="4" customWidth="1"/>
    <col min="5" max="5" width="16.7109375" style="4" customWidth="1"/>
    <col min="6" max="6" width="19.28125" style="4" customWidth="1"/>
    <col min="7" max="7" width="14.7109375" style="4" customWidth="1"/>
    <col min="8" max="8" width="21.00390625" style="4" customWidth="1"/>
    <col min="9" max="9" width="11.7109375" style="4" customWidth="1"/>
    <col min="10" max="10" width="11.00390625" style="4" customWidth="1"/>
    <col min="11" max="11" width="15.140625" style="4" customWidth="1"/>
    <col min="12" max="12" width="19.7109375" style="4" customWidth="1"/>
    <col min="13" max="13" width="13.00390625" style="4" customWidth="1"/>
    <col min="14" max="14" width="19.8515625" style="4" customWidth="1"/>
    <col min="15" max="15" width="18.57421875" style="4" customWidth="1"/>
    <col min="16" max="16" width="21.00390625" style="4" customWidth="1"/>
    <col min="17" max="17" width="21.421875" style="4" customWidth="1"/>
    <col min="18" max="16384" width="9.7109375" style="4" customWidth="1"/>
  </cols>
  <sheetData>
    <row r="1" spans="2:12" ht="16.5" customHeight="1">
      <c r="B1" s="274"/>
      <c r="C1" s="305"/>
      <c r="D1" s="305"/>
      <c r="E1" s="305"/>
      <c r="F1" s="305"/>
      <c r="G1" s="305"/>
      <c r="H1" s="305"/>
      <c r="I1" s="305"/>
      <c r="J1" s="305"/>
      <c r="K1" s="305"/>
      <c r="L1" s="305"/>
    </row>
    <row r="2" spans="2:15" ht="35.25" customHeight="1">
      <c r="B2" s="946" t="s">
        <v>355</v>
      </c>
      <c r="C2" s="947"/>
      <c r="D2" s="947"/>
      <c r="E2" s="947"/>
      <c r="F2" s="947"/>
      <c r="G2" s="947"/>
      <c r="H2" s="948"/>
      <c r="I2" s="948"/>
      <c r="J2" s="948"/>
      <c r="K2" s="948"/>
      <c r="L2" s="949"/>
      <c r="M2" s="920"/>
      <c r="N2" s="920"/>
      <c r="O2" s="920"/>
    </row>
    <row r="4" spans="4:12" s="1" customFormat="1" ht="46.5" customHeight="1">
      <c r="D4" s="1012" t="s">
        <v>348</v>
      </c>
      <c r="E4" s="1013"/>
      <c r="F4" s="1013"/>
      <c r="G4" s="1013"/>
      <c r="H4" s="1013"/>
      <c r="I4" s="1013"/>
      <c r="J4" s="1013"/>
      <c r="K4" s="1013"/>
      <c r="L4" s="1013"/>
    </row>
    <row r="5" spans="4:12" s="1" customFormat="1" ht="17.25" customHeight="1">
      <c r="D5" s="514"/>
      <c r="E5" s="515"/>
      <c r="F5" s="515"/>
      <c r="G5" s="515"/>
      <c r="H5" s="515"/>
      <c r="I5" s="515"/>
      <c r="J5" s="515"/>
      <c r="K5" s="515"/>
      <c r="L5" s="515"/>
    </row>
    <row r="6" s="1" customFormat="1" ht="18" customHeight="1">
      <c r="D6" s="289" t="s">
        <v>353</v>
      </c>
    </row>
    <row r="7" spans="4:8" s="1" customFormat="1" ht="18" customHeight="1" thickBot="1">
      <c r="D7" s="289"/>
      <c r="G7" s="469"/>
      <c r="H7" s="469"/>
    </row>
    <row r="8" spans="3:8" s="1" customFormat="1" ht="24" customHeight="1" thickTop="1">
      <c r="C8" s="504" t="s">
        <v>307</v>
      </c>
      <c r="D8" s="495"/>
      <c r="E8" s="499"/>
      <c r="F8" s="495"/>
      <c r="H8" s="508"/>
    </row>
    <row r="9" spans="3:8" s="1" customFormat="1" ht="18" customHeight="1">
      <c r="C9" s="503"/>
      <c r="E9" s="944" t="s">
        <v>558</v>
      </c>
      <c r="F9" s="944"/>
      <c r="G9" s="481"/>
      <c r="H9" s="355"/>
    </row>
    <row r="10" spans="3:8" s="1" customFormat="1" ht="18" customHeight="1">
      <c r="C10" s="503"/>
      <c r="E10" s="944" t="s">
        <v>649</v>
      </c>
      <c r="F10" s="944"/>
      <c r="G10" s="162"/>
      <c r="H10" s="355"/>
    </row>
    <row r="11" spans="3:8" s="1" customFormat="1" ht="18" customHeight="1">
      <c r="C11" s="503"/>
      <c r="E11" s="944" t="s">
        <v>399</v>
      </c>
      <c r="F11" s="1005"/>
      <c r="G11" s="163"/>
      <c r="H11" s="355"/>
    </row>
    <row r="12" spans="3:8" s="1" customFormat="1" ht="18" customHeight="1" thickBot="1">
      <c r="C12" s="493"/>
      <c r="D12" s="469"/>
      <c r="E12" s="469"/>
      <c r="F12" s="469"/>
      <c r="G12" s="469"/>
      <c r="H12" s="494"/>
    </row>
    <row r="13" spans="3:18" s="1" customFormat="1" ht="18" customHeight="1" thickBot="1" thickTop="1">
      <c r="C13" s="2"/>
      <c r="Q13" s="469"/>
      <c r="R13" s="469"/>
    </row>
    <row r="14" spans="2:18" s="1" customFormat="1" ht="45" customHeight="1" thickBot="1" thickTop="1">
      <c r="B14" s="250"/>
      <c r="C14" s="1014" t="s">
        <v>348</v>
      </c>
      <c r="D14" s="1015"/>
      <c r="E14" s="1015"/>
      <c r="F14" s="1015"/>
      <c r="G14" s="1015"/>
      <c r="H14" s="1015"/>
      <c r="I14" s="1015"/>
      <c r="J14" s="1015"/>
      <c r="K14" s="1015"/>
      <c r="L14" s="251"/>
      <c r="M14" s="251"/>
      <c r="N14" s="251"/>
      <c r="O14" s="251"/>
      <c r="P14" s="251"/>
      <c r="Q14" s="251"/>
      <c r="R14" s="252"/>
    </row>
    <row r="15" spans="2:18" s="1" customFormat="1" ht="18" customHeight="1" thickTop="1">
      <c r="B15" s="57"/>
      <c r="C15" s="65"/>
      <c r="D15" s="65"/>
      <c r="E15" s="65"/>
      <c r="F15" s="65"/>
      <c r="G15" s="65"/>
      <c r="H15" s="65"/>
      <c r="I15" s="65"/>
      <c r="J15" s="65"/>
      <c r="K15" s="65"/>
      <c r="L15" s="65"/>
      <c r="M15" s="65"/>
      <c r="N15" s="65"/>
      <c r="O15" s="65"/>
      <c r="P15" s="65"/>
      <c r="Q15" s="65"/>
      <c r="R15" s="58"/>
    </row>
    <row r="16" spans="2:18" s="1" customFormat="1" ht="27" customHeight="1">
      <c r="B16" s="57"/>
      <c r="C16" s="65"/>
      <c r="D16" s="1011" t="s">
        <v>342</v>
      </c>
      <c r="E16" s="920"/>
      <c r="F16" s="920"/>
      <c r="G16" s="920"/>
      <c r="H16" s="920"/>
      <c r="I16" s="920"/>
      <c r="J16" s="920"/>
      <c r="K16" s="920"/>
      <c r="L16" s="920"/>
      <c r="M16" s="303"/>
      <c r="N16" s="303"/>
      <c r="O16" s="303"/>
      <c r="P16" s="65"/>
      <c r="Q16" s="65"/>
      <c r="R16" s="58"/>
    </row>
    <row r="17" spans="2:18" s="1" customFormat="1" ht="18" customHeight="1">
      <c r="B17" s="57"/>
      <c r="C17" s="65"/>
      <c r="D17" s="65"/>
      <c r="E17" s="65"/>
      <c r="F17" s="65"/>
      <c r="G17" s="65"/>
      <c r="H17" s="65"/>
      <c r="I17" s="65"/>
      <c r="J17" s="65"/>
      <c r="K17" s="65"/>
      <c r="L17" s="65"/>
      <c r="M17" s="296"/>
      <c r="N17" s="296"/>
      <c r="O17" s="65"/>
      <c r="P17" s="296"/>
      <c r="Q17" s="65"/>
      <c r="R17" s="58"/>
    </row>
    <row r="18" spans="2:18" ht="15" customHeight="1">
      <c r="B18" s="57"/>
      <c r="C18" s="65"/>
      <c r="D18" s="3" t="s">
        <v>507</v>
      </c>
      <c r="E18" s="3" t="s">
        <v>522</v>
      </c>
      <c r="F18" s="3" t="s">
        <v>523</v>
      </c>
      <c r="G18" s="3" t="s">
        <v>524</v>
      </c>
      <c r="H18" s="3" t="s">
        <v>538</v>
      </c>
      <c r="I18" s="3"/>
      <c r="J18" s="3"/>
      <c r="K18" s="3" t="s">
        <v>539</v>
      </c>
      <c r="L18" s="3" t="s">
        <v>540</v>
      </c>
      <c r="M18" s="3" t="s">
        <v>768</v>
      </c>
      <c r="N18" s="3" t="s">
        <v>820</v>
      </c>
      <c r="O18" s="3" t="s">
        <v>821</v>
      </c>
      <c r="P18" s="3" t="s">
        <v>651</v>
      </c>
      <c r="Q18" s="3" t="s">
        <v>652</v>
      </c>
      <c r="R18" s="58"/>
    </row>
    <row r="19" spans="2:18" ht="14.25" customHeight="1">
      <c r="B19" s="57"/>
      <c r="C19" s="65"/>
      <c r="D19" s="3" t="s">
        <v>400</v>
      </c>
      <c r="E19" s="3" t="s">
        <v>401</v>
      </c>
      <c r="F19" s="300" t="s">
        <v>407</v>
      </c>
      <c r="G19" s="3" t="s">
        <v>402</v>
      </c>
      <c r="H19" s="3" t="s">
        <v>403</v>
      </c>
      <c r="I19" s="3"/>
      <c r="J19" s="3"/>
      <c r="K19" s="32" t="s">
        <v>406</v>
      </c>
      <c r="L19" s="3" t="s">
        <v>416</v>
      </c>
      <c r="M19" s="3" t="s">
        <v>741</v>
      </c>
      <c r="N19" s="3" t="s">
        <v>754</v>
      </c>
      <c r="O19" s="18" t="s">
        <v>755</v>
      </c>
      <c r="P19" s="3" t="s">
        <v>793</v>
      </c>
      <c r="Q19" s="3" t="s">
        <v>794</v>
      </c>
      <c r="R19" s="58"/>
    </row>
    <row r="20" spans="2:18" ht="57" customHeight="1">
      <c r="B20" s="57"/>
      <c r="C20" s="65"/>
      <c r="D20" s="5" t="s">
        <v>562</v>
      </c>
      <c r="E20" s="5" t="s">
        <v>561</v>
      </c>
      <c r="F20" s="5" t="s">
        <v>653</v>
      </c>
      <c r="G20" s="8" t="s">
        <v>654</v>
      </c>
      <c r="H20" s="5" t="s">
        <v>564</v>
      </c>
      <c r="I20" s="1009" t="s">
        <v>664</v>
      </c>
      <c r="J20" s="1010"/>
      <c r="K20" s="5" t="s">
        <v>655</v>
      </c>
      <c r="L20" s="5" t="s">
        <v>665</v>
      </c>
      <c r="M20" s="5" t="s">
        <v>666</v>
      </c>
      <c r="N20" s="5" t="s">
        <v>667</v>
      </c>
      <c r="O20" s="8" t="s">
        <v>668</v>
      </c>
      <c r="P20" s="301" t="s">
        <v>818</v>
      </c>
      <c r="Q20" s="297" t="s">
        <v>819</v>
      </c>
      <c r="R20" s="58"/>
    </row>
    <row r="21" spans="2:18" ht="126" customHeight="1">
      <c r="B21" s="57"/>
      <c r="C21" s="65"/>
      <c r="D21" s="6"/>
      <c r="E21" s="6"/>
      <c r="F21" s="6"/>
      <c r="G21" s="301"/>
      <c r="H21" s="8" t="s">
        <v>58</v>
      </c>
      <c r="I21" s="5" t="s">
        <v>656</v>
      </c>
      <c r="J21" s="5" t="s">
        <v>657</v>
      </c>
      <c r="K21" s="8" t="s">
        <v>488</v>
      </c>
      <c r="L21" s="8" t="s">
        <v>658</v>
      </c>
      <c r="M21" s="8" t="s">
        <v>659</v>
      </c>
      <c r="N21" s="8" t="s">
        <v>660</v>
      </c>
      <c r="O21" s="8" t="s">
        <v>661</v>
      </c>
      <c r="P21" s="8" t="s">
        <v>662</v>
      </c>
      <c r="Q21" s="299" t="s">
        <v>663</v>
      </c>
      <c r="R21" s="58"/>
    </row>
    <row r="22" spans="2:18" ht="26.25" customHeight="1">
      <c r="B22" s="57"/>
      <c r="C22" s="65"/>
      <c r="D22" s="9" t="s">
        <v>563</v>
      </c>
      <c r="E22" s="125" t="s">
        <v>565</v>
      </c>
      <c r="F22" s="125" t="s">
        <v>565</v>
      </c>
      <c r="G22" s="7" t="s">
        <v>563</v>
      </c>
      <c r="H22" s="125" t="s">
        <v>59</v>
      </c>
      <c r="I22" s="258"/>
      <c r="J22" s="258"/>
      <c r="K22" s="125" t="s">
        <v>669</v>
      </c>
      <c r="L22" s="125"/>
      <c r="M22" s="125"/>
      <c r="N22" s="9" t="s">
        <v>59</v>
      </c>
      <c r="O22" s="9" t="s">
        <v>59</v>
      </c>
      <c r="P22" s="302" t="s">
        <v>60</v>
      </c>
      <c r="Q22" s="298" t="s">
        <v>60</v>
      </c>
      <c r="R22" s="58"/>
    </row>
    <row r="23" spans="2:18" ht="19.5" customHeight="1">
      <c r="B23" s="57"/>
      <c r="C23" s="240" t="s">
        <v>791</v>
      </c>
      <c r="D23" s="603">
        <v>1000000</v>
      </c>
      <c r="E23" s="603">
        <v>500000</v>
      </c>
      <c r="F23" s="604">
        <v>2679000</v>
      </c>
      <c r="G23" s="304" t="s">
        <v>839</v>
      </c>
      <c r="H23" s="304">
        <v>587.4</v>
      </c>
      <c r="I23" s="304">
        <f>IF(ISERROR(D23/(F23-E23)),"",D23/(F23-E23))</f>
        <v>0.45892611289582375</v>
      </c>
      <c r="J23" s="304">
        <f>IF(ISERROR((F23-D23)/E23),"",(F23-D23)/E23)</f>
        <v>3.358</v>
      </c>
      <c r="K23" s="84">
        <v>2.3</v>
      </c>
      <c r="L23" s="69">
        <f>+IF(ISERROR((D23+K23*E23)/(F23*K23)),"",(D23+K23*E23)/(F23*K23))</f>
        <v>0.3489296784978172</v>
      </c>
      <c r="M23" s="69">
        <f>IF(ISERROR(K23*L23),"",K23*L23)</f>
        <v>0.8025382605449795</v>
      </c>
      <c r="N23" s="69">
        <f>+IF(ISERROR(H23*(D23/(D23+E23*K23))),"",H23*(D23/(D23+E23*K23)))</f>
        <v>273.2093023255814</v>
      </c>
      <c r="O23" s="192">
        <f>IF(ISERROR(H23-N23),"",H23-N23)</f>
        <v>314.1906976744186</v>
      </c>
      <c r="P23" s="192">
        <f>IF(ISERROR(N23*1000/D23),"",N23*1000/D23)</f>
        <v>0.27320930232558144</v>
      </c>
      <c r="Q23" s="192">
        <f>IF(ISERROR(O23*1000/E23),"",O23*1000/E23)</f>
        <v>0.6283813953488371</v>
      </c>
      <c r="R23" s="58"/>
    </row>
    <row r="24" spans="2:18" s="13" customFormat="1" ht="10.5" customHeight="1">
      <c r="B24" s="82"/>
      <c r="C24" s="239"/>
      <c r="D24" s="35"/>
      <c r="E24" s="10"/>
      <c r="F24" s="10"/>
      <c r="G24" s="11"/>
      <c r="H24" s="11"/>
      <c r="I24" s="531">
        <f>IF(ISERROR(D24/(F24-E24)),"",D24/(F24-E24))</f>
      </c>
      <c r="J24" s="531">
        <f>IF(ISERROR((F24-D24)/E24),"",(F24-D24)/E24)</f>
      </c>
      <c r="K24" s="10"/>
      <c r="L24" s="532"/>
      <c r="M24" s="532"/>
      <c r="N24" s="532"/>
      <c r="O24" s="533"/>
      <c r="P24" s="533"/>
      <c r="Q24" s="533"/>
      <c r="R24" s="113"/>
    </row>
    <row r="25" spans="2:18" s="37" customFormat="1" ht="20.25" customHeight="1">
      <c r="B25" s="88"/>
      <c r="C25" s="94"/>
      <c r="D25" s="718"/>
      <c r="E25" s="732"/>
      <c r="F25" s="733"/>
      <c r="G25" s="734"/>
      <c r="H25" s="733"/>
      <c r="I25" s="134">
        <f>IF(ISERROR(D25/(F25-E25)),"",D25/(F25-E25))</f>
      </c>
      <c r="J25" s="134">
        <f>IF(ISERROR((F25-D25)/E25),"",(F25-D25)/E25)</f>
      </c>
      <c r="K25" s="732"/>
      <c r="L25" s="534">
        <f>+IF(ISERROR((D25+K25*E25)/(F25*K25)),"",(D25+K25*E25)/(F25*K25))</f>
      </c>
      <c r="M25" s="534">
        <f>IF(ISERROR(K25*L25),"",K25*L25)</f>
      </c>
      <c r="N25" s="139">
        <f>+IF(ISERROR(H25*(D25/(D25+E25*K25))),"",H25*(D25/(D25+E25*K25)))</f>
      </c>
      <c r="O25" s="134">
        <f>IF(ISERROR(H25-N25),"",H25-N25)</f>
      </c>
      <c r="P25" s="134">
        <f aca="true" t="shared" si="0" ref="P25:Q27">IF(ISERROR(N25*1000/D25),"",N25*1000/D25)</f>
      </c>
      <c r="Q25" s="134">
        <f t="shared" si="0"/>
      </c>
      <c r="R25" s="85"/>
    </row>
    <row r="26" spans="2:18" s="37" customFormat="1" ht="19.5" customHeight="1">
      <c r="B26" s="88"/>
      <c r="C26" s="94"/>
      <c r="D26" s="718"/>
      <c r="E26" s="718"/>
      <c r="F26" s="718"/>
      <c r="G26" s="735"/>
      <c r="H26" s="732"/>
      <c r="I26" s="134">
        <f>IF(ISERROR(D26/(F26-E26)),"",D26/(F26-E26))</f>
      </c>
      <c r="J26" s="134">
        <f>IF(ISERROR((F26-D26)/E26),"",(F26-D26)/E26)</f>
      </c>
      <c r="K26" s="732"/>
      <c r="L26" s="534">
        <f>+IF(ISERROR((D26+K26*E26)/(F26*K26)),"",(D26+K26*E26)/(F26*K26))</f>
      </c>
      <c r="M26" s="534">
        <f>IF(ISERROR(K26*L26),"",K26*L26)</f>
      </c>
      <c r="N26" s="139">
        <f>+IF(ISERROR(H26*(D26/(D26+E26*K26))),"",H26*(D26/(D26+E26*K26)))</f>
      </c>
      <c r="O26" s="134">
        <f>IF(ISERROR(H26-N26),"",H26-N26)</f>
      </c>
      <c r="P26" s="134">
        <f t="shared" si="0"/>
      </c>
      <c r="Q26" s="134">
        <f t="shared" si="0"/>
      </c>
      <c r="R26" s="85"/>
    </row>
    <row r="27" spans="2:18" s="37" customFormat="1" ht="19.5" customHeight="1">
      <c r="B27" s="88"/>
      <c r="C27" s="94"/>
      <c r="D27" s="718"/>
      <c r="E27" s="736"/>
      <c r="F27" s="718"/>
      <c r="G27" s="735"/>
      <c r="H27" s="732"/>
      <c r="I27" s="134">
        <f>IF(ISERROR(D27/(F27-E27)),"",D27/(F27-E27))</f>
      </c>
      <c r="J27" s="134">
        <f>IF(ISERROR((F27-D27)/E27),"",(F27-D27)/E27)</f>
      </c>
      <c r="K27" s="732"/>
      <c r="L27" s="534">
        <f>+IF(ISERROR((D27+K27*E27)/(F27*K27)),"",(D27+K27*E27)/(F27*K27))</f>
      </c>
      <c r="M27" s="534">
        <f>IF(ISERROR(K27*L27),"",K27*L27)</f>
      </c>
      <c r="N27" s="139">
        <f>+IF(ISERROR(H27*(D27/(D27+E27*K27))),"",H27*(D27/(D27+E27*K27)))</f>
      </c>
      <c r="O27" s="134">
        <f>IF(ISERROR(H27-N27),"",H27-N27)</f>
      </c>
      <c r="P27" s="134">
        <f t="shared" si="0"/>
      </c>
      <c r="Q27" s="134">
        <f t="shared" si="0"/>
      </c>
      <c r="R27" s="85"/>
    </row>
    <row r="28" spans="2:18" ht="19.5" customHeight="1">
      <c r="B28" s="57"/>
      <c r="C28" s="65"/>
      <c r="D28" s="63"/>
      <c r="E28" s="63"/>
      <c r="F28" s="63"/>
      <c r="G28" s="63"/>
      <c r="H28" s="63"/>
      <c r="I28" s="63"/>
      <c r="J28" s="63"/>
      <c r="K28" s="63"/>
      <c r="L28" s="63"/>
      <c r="M28" s="63"/>
      <c r="N28" s="241"/>
      <c r="O28" s="65"/>
      <c r="P28" s="241"/>
      <c r="Q28" s="224"/>
      <c r="R28" s="58"/>
    </row>
    <row r="29" spans="2:18" ht="13.5" thickBot="1">
      <c r="B29" s="80"/>
      <c r="C29" s="81"/>
      <c r="D29" s="81"/>
      <c r="E29" s="81"/>
      <c r="F29" s="81"/>
      <c r="G29" s="81"/>
      <c r="H29" s="81"/>
      <c r="I29" s="81"/>
      <c r="J29" s="81"/>
      <c r="K29" s="81"/>
      <c r="L29" s="81"/>
      <c r="M29" s="81"/>
      <c r="N29" s="81"/>
      <c r="O29" s="81"/>
      <c r="P29" s="81"/>
      <c r="Q29" s="81"/>
      <c r="R29" s="77"/>
    </row>
    <row r="30" ht="13.5" thickTop="1"/>
    <row r="33" spans="2:10" ht="112.5" customHeight="1">
      <c r="B33" s="1006" t="s">
        <v>670</v>
      </c>
      <c r="C33" s="1007"/>
      <c r="D33" s="1007"/>
      <c r="E33" s="1007"/>
      <c r="F33" s="1007"/>
      <c r="G33" s="1007"/>
      <c r="H33" s="1007"/>
      <c r="I33" s="1007"/>
      <c r="J33" s="1008"/>
    </row>
    <row r="36" spans="12:13" ht="12.75">
      <c r="L36" s="148"/>
      <c r="M36" s="148"/>
    </row>
  </sheetData>
  <sheetProtection password="CD08" sheet="1"/>
  <mergeCells count="9">
    <mergeCell ref="B2:O2"/>
    <mergeCell ref="E10:F10"/>
    <mergeCell ref="E11:F11"/>
    <mergeCell ref="B33:J33"/>
    <mergeCell ref="I20:J20"/>
    <mergeCell ref="D16:L16"/>
    <mergeCell ref="D4:L4"/>
    <mergeCell ref="C14:K14"/>
    <mergeCell ref="E9:F9"/>
  </mergeCells>
  <printOptions/>
  <pageMargins left="0.75" right="0.75" top="1" bottom="1" header="0.5" footer="0.5"/>
  <pageSetup fitToHeight="1" fitToWidth="1" horizontalDpi="600" verticalDpi="600" orientation="landscape" scale="46" r:id="rId1"/>
  <headerFooter alignWithMargins="0">
    <oddHeader>&amp;L&amp;D&amp;R&amp;F</oddHeader>
  </headerFooter>
  <rowBreaks count="1" manualBreakCount="1">
    <brk id="11" max="255" man="1"/>
  </rowBreaks>
</worksheet>
</file>

<file path=xl/worksheets/sheet9.xml><?xml version="1.0" encoding="utf-8"?>
<worksheet xmlns="http://schemas.openxmlformats.org/spreadsheetml/2006/main" xmlns:r="http://schemas.openxmlformats.org/officeDocument/2006/relationships">
  <sheetPr>
    <pageSetUpPr fitToPage="1"/>
  </sheetPr>
  <dimension ref="B1:M38"/>
  <sheetViews>
    <sheetView zoomScale="75" zoomScaleNormal="75" zoomScalePageLayoutView="0" workbookViewId="0" topLeftCell="A1">
      <selection activeCell="C2" sqref="C2"/>
    </sheetView>
  </sheetViews>
  <sheetFormatPr defaultColWidth="9.7109375" defaultRowHeight="12.75"/>
  <cols>
    <col min="1" max="1" width="9.140625" style="4" customWidth="1"/>
    <col min="2" max="2" width="3.8515625" style="4" customWidth="1"/>
    <col min="3" max="3" width="31.57421875" style="4" customWidth="1"/>
    <col min="4" max="4" width="18.8515625" style="4" customWidth="1"/>
    <col min="5" max="5" width="17.421875" style="4" customWidth="1"/>
    <col min="6" max="6" width="20.57421875" style="4" customWidth="1"/>
    <col min="7" max="7" width="22.140625" style="4" customWidth="1"/>
    <col min="8" max="8" width="20.57421875" style="4" customWidth="1"/>
    <col min="9" max="9" width="20.28125" style="4" customWidth="1"/>
    <col min="10" max="10" width="21.421875" style="4" customWidth="1"/>
    <col min="11" max="11" width="40.8515625" style="4" customWidth="1"/>
    <col min="12" max="16384" width="9.7109375" style="4" customWidth="1"/>
  </cols>
  <sheetData>
    <row r="1" spans="2:13" s="1" customFormat="1" ht="54.75" customHeight="1">
      <c r="B1" s="1017" t="s">
        <v>355</v>
      </c>
      <c r="C1" s="1018"/>
      <c r="D1" s="1018"/>
      <c r="E1" s="1018"/>
      <c r="F1" s="1018"/>
      <c r="G1" s="1018"/>
      <c r="H1" s="1019"/>
      <c r="I1" s="1019"/>
      <c r="J1" s="1020"/>
      <c r="K1" s="1021"/>
      <c r="L1" s="1021"/>
      <c r="M1" s="1021"/>
    </row>
    <row r="2" s="1" customFormat="1" ht="23.25" customHeight="1">
      <c r="C2" s="516" t="s">
        <v>349</v>
      </c>
    </row>
    <row r="3" s="1" customFormat="1" ht="24" customHeight="1">
      <c r="C3" s="516" t="s">
        <v>303</v>
      </c>
    </row>
    <row r="4" s="1" customFormat="1" ht="18" customHeight="1" thickBot="1">
      <c r="F4" s="469"/>
    </row>
    <row r="5" spans="2:7" s="1" customFormat="1" ht="18" customHeight="1" thickTop="1">
      <c r="B5" s="504" t="s">
        <v>307</v>
      </c>
      <c r="C5" s="495"/>
      <c r="D5" s="499"/>
      <c r="E5" s="495"/>
      <c r="G5" s="508"/>
    </row>
    <row r="6" spans="2:7" s="1" customFormat="1" ht="18" customHeight="1">
      <c r="B6" s="651"/>
      <c r="D6" s="944" t="s">
        <v>728</v>
      </c>
      <c r="E6" s="1005"/>
      <c r="F6" s="160"/>
      <c r="G6" s="355"/>
    </row>
    <row r="7" spans="2:7" s="1" customFormat="1" ht="18" customHeight="1">
      <c r="B7" s="503"/>
      <c r="D7" s="944" t="s">
        <v>558</v>
      </c>
      <c r="E7" s="944"/>
      <c r="F7" s="481"/>
      <c r="G7" s="355"/>
    </row>
    <row r="8" spans="2:7" s="1" customFormat="1" ht="18" customHeight="1">
      <c r="B8" s="503"/>
      <c r="D8" s="944" t="s">
        <v>399</v>
      </c>
      <c r="E8" s="1005"/>
      <c r="F8" s="163"/>
      <c r="G8" s="355"/>
    </row>
    <row r="9" spans="2:7" s="1" customFormat="1" ht="18" customHeight="1" thickBot="1">
      <c r="B9" s="493"/>
      <c r="C9" s="469"/>
      <c r="D9" s="469"/>
      <c r="E9" s="469"/>
      <c r="F9" s="469"/>
      <c r="G9" s="494"/>
    </row>
    <row r="10" s="1" customFormat="1" ht="18" customHeight="1" thickBot="1" thickTop="1"/>
    <row r="11" spans="2:12" s="1" customFormat="1" ht="18" customHeight="1" thickTop="1">
      <c r="B11" s="54"/>
      <c r="C11" s="217" t="s">
        <v>351</v>
      </c>
      <c r="D11" s="55"/>
      <c r="E11" s="55"/>
      <c r="F11" s="55"/>
      <c r="G11" s="55"/>
      <c r="H11" s="55"/>
      <c r="I11" s="55"/>
      <c r="J11" s="55"/>
      <c r="K11" s="55"/>
      <c r="L11" s="56"/>
    </row>
    <row r="12" spans="2:12" s="1" customFormat="1" ht="18" customHeight="1">
      <c r="B12" s="57"/>
      <c r="C12" s="65"/>
      <c r="D12" s="65"/>
      <c r="E12" s="65"/>
      <c r="F12" s="65"/>
      <c r="G12" s="65"/>
      <c r="H12" s="65"/>
      <c r="I12" s="65"/>
      <c r="J12" s="65"/>
      <c r="K12" s="65"/>
      <c r="L12" s="58"/>
    </row>
    <row r="13" spans="2:12" ht="19.5" customHeight="1">
      <c r="B13" s="57"/>
      <c r="C13" s="66"/>
      <c r="D13" s="3" t="s">
        <v>507</v>
      </c>
      <c r="E13" s="952" t="s">
        <v>522</v>
      </c>
      <c r="F13" s="1022"/>
      <c r="G13" s="1023"/>
      <c r="H13" s="952" t="s">
        <v>523</v>
      </c>
      <c r="I13" s="1022"/>
      <c r="J13" s="1023"/>
      <c r="K13" s="3" t="s">
        <v>524</v>
      </c>
      <c r="L13" s="58"/>
    </row>
    <row r="14" spans="2:12" ht="19.5" customHeight="1">
      <c r="B14" s="57"/>
      <c r="C14" s="66"/>
      <c r="D14" s="3" t="s">
        <v>400</v>
      </c>
      <c r="E14" s="3" t="s">
        <v>401</v>
      </c>
      <c r="F14" s="3" t="s">
        <v>407</v>
      </c>
      <c r="G14" s="3" t="s">
        <v>402</v>
      </c>
      <c r="H14" s="3" t="s">
        <v>403</v>
      </c>
      <c r="I14" s="3" t="s">
        <v>406</v>
      </c>
      <c r="J14" s="3" t="s">
        <v>416</v>
      </c>
      <c r="K14" s="3" t="s">
        <v>741</v>
      </c>
      <c r="L14" s="58"/>
    </row>
    <row r="15" spans="2:12" ht="45" customHeight="1">
      <c r="B15" s="57"/>
      <c r="C15" s="66"/>
      <c r="D15" s="5" t="s">
        <v>537</v>
      </c>
      <c r="E15" s="5" t="s">
        <v>790</v>
      </c>
      <c r="F15" s="5" t="s">
        <v>61</v>
      </c>
      <c r="G15" s="5" t="s">
        <v>63</v>
      </c>
      <c r="H15" s="8" t="s">
        <v>65</v>
      </c>
      <c r="I15" s="8" t="s">
        <v>66</v>
      </c>
      <c r="J15" s="8" t="s">
        <v>68</v>
      </c>
      <c r="K15" s="8" t="s">
        <v>70</v>
      </c>
      <c r="L15" s="58"/>
    </row>
    <row r="16" spans="2:12" ht="27.75" customHeight="1">
      <c r="B16" s="57"/>
      <c r="C16" s="66"/>
      <c r="D16" s="6"/>
      <c r="E16" s="6"/>
      <c r="F16" s="6"/>
      <c r="G16" s="6"/>
      <c r="H16" s="33" t="s">
        <v>250</v>
      </c>
      <c r="I16" s="33" t="s">
        <v>251</v>
      </c>
      <c r="J16" s="33" t="s">
        <v>252</v>
      </c>
      <c r="K16" s="33"/>
      <c r="L16" s="58"/>
    </row>
    <row r="17" spans="2:12" ht="19.5" customHeight="1">
      <c r="B17" s="57"/>
      <c r="C17" s="124"/>
      <c r="D17" s="7" t="s">
        <v>789</v>
      </c>
      <c r="E17" s="9" t="s">
        <v>788</v>
      </c>
      <c r="F17" s="9" t="s">
        <v>62</v>
      </c>
      <c r="G17" s="9" t="s">
        <v>64</v>
      </c>
      <c r="H17" s="9" t="s">
        <v>581</v>
      </c>
      <c r="I17" s="9" t="s">
        <v>67</v>
      </c>
      <c r="J17" s="9" t="s">
        <v>69</v>
      </c>
      <c r="K17" s="7" t="s">
        <v>815</v>
      </c>
      <c r="L17" s="58"/>
    </row>
    <row r="18" spans="2:12" ht="19.5" customHeight="1">
      <c r="B18" s="57"/>
      <c r="C18" s="68"/>
      <c r="D18" s="69"/>
      <c r="E18" s="69"/>
      <c r="F18" s="69"/>
      <c r="G18" s="69"/>
      <c r="H18" s="84"/>
      <c r="I18" s="84"/>
      <c r="J18" s="84"/>
      <c r="K18" s="84"/>
      <c r="L18" s="58"/>
    </row>
    <row r="19" spans="2:12" s="13" customFormat="1" ht="19.5" customHeight="1">
      <c r="B19" s="82"/>
      <c r="C19" s="122" t="s">
        <v>525</v>
      </c>
      <c r="D19" s="12"/>
      <c r="E19" s="12"/>
      <c r="F19" s="12"/>
      <c r="G19" s="12"/>
      <c r="H19" s="20"/>
      <c r="I19" s="20"/>
      <c r="J19" s="20"/>
      <c r="K19" s="20"/>
      <c r="L19" s="113"/>
    </row>
    <row r="20" spans="2:12" ht="51" customHeight="1">
      <c r="B20" s="57"/>
      <c r="C20" s="737"/>
      <c r="D20" s="732"/>
      <c r="E20" s="721"/>
      <c r="F20" s="773"/>
      <c r="G20" s="773"/>
      <c r="H20" s="134">
        <f>$D20*E20/1000</f>
        <v>0</v>
      </c>
      <c r="I20" s="806">
        <f>$D20*F20/1000</f>
        <v>0</v>
      </c>
      <c r="J20" s="806">
        <f>$D20*G20/1000</f>
        <v>0</v>
      </c>
      <c r="K20" s="741"/>
      <c r="L20" s="58"/>
    </row>
    <row r="21" spans="2:12" ht="50.25" customHeight="1">
      <c r="B21" s="57"/>
      <c r="C21" s="737"/>
      <c r="D21" s="732"/>
      <c r="E21" s="721"/>
      <c r="F21" s="773"/>
      <c r="G21" s="773"/>
      <c r="H21" s="134">
        <f aca="true" t="shared" si="0" ref="H21:H29">$D21*E21/1000</f>
        <v>0</v>
      </c>
      <c r="I21" s="806">
        <f aca="true" t="shared" si="1" ref="I21:I29">$D21*F21/1000</f>
        <v>0</v>
      </c>
      <c r="J21" s="806">
        <f aca="true" t="shared" si="2" ref="J21:J29">$D21*G21/1000</f>
        <v>0</v>
      </c>
      <c r="K21" s="741"/>
      <c r="L21" s="58"/>
    </row>
    <row r="22" spans="2:12" ht="50.25" customHeight="1">
      <c r="B22" s="57"/>
      <c r="C22" s="737"/>
      <c r="D22" s="738"/>
      <c r="E22" s="721"/>
      <c r="F22" s="773"/>
      <c r="G22" s="773"/>
      <c r="H22" s="134">
        <f t="shared" si="0"/>
        <v>0</v>
      </c>
      <c r="I22" s="806">
        <f t="shared" si="1"/>
        <v>0</v>
      </c>
      <c r="J22" s="806">
        <f t="shared" si="2"/>
        <v>0</v>
      </c>
      <c r="K22" s="742"/>
      <c r="L22" s="58"/>
    </row>
    <row r="23" spans="2:12" ht="50.25" customHeight="1">
      <c r="B23" s="57"/>
      <c r="C23" s="737"/>
      <c r="D23" s="738"/>
      <c r="E23" s="721"/>
      <c r="F23" s="773"/>
      <c r="G23" s="773"/>
      <c r="H23" s="134">
        <f t="shared" si="0"/>
        <v>0</v>
      </c>
      <c r="I23" s="806">
        <f t="shared" si="1"/>
        <v>0</v>
      </c>
      <c r="J23" s="806">
        <f t="shared" si="2"/>
        <v>0</v>
      </c>
      <c r="K23" s="742"/>
      <c r="L23" s="58"/>
    </row>
    <row r="24" spans="2:12" ht="50.25" customHeight="1">
      <c r="B24" s="57"/>
      <c r="C24" s="739"/>
      <c r="D24" s="738"/>
      <c r="E24" s="721"/>
      <c r="F24" s="773"/>
      <c r="G24" s="773"/>
      <c r="H24" s="134">
        <f t="shared" si="0"/>
        <v>0</v>
      </c>
      <c r="I24" s="806">
        <f t="shared" si="1"/>
        <v>0</v>
      </c>
      <c r="J24" s="806">
        <f t="shared" si="2"/>
        <v>0</v>
      </c>
      <c r="K24" s="742"/>
      <c r="L24" s="58"/>
    </row>
    <row r="25" spans="2:12" ht="50.25" customHeight="1">
      <c r="B25" s="57"/>
      <c r="C25" s="737"/>
      <c r="D25" s="738"/>
      <c r="E25" s="721"/>
      <c r="F25" s="773"/>
      <c r="G25" s="773"/>
      <c r="H25" s="134">
        <f t="shared" si="0"/>
        <v>0</v>
      </c>
      <c r="I25" s="806">
        <f t="shared" si="1"/>
        <v>0</v>
      </c>
      <c r="J25" s="806">
        <f t="shared" si="2"/>
        <v>0</v>
      </c>
      <c r="K25" s="742"/>
      <c r="L25" s="58"/>
    </row>
    <row r="26" spans="2:12" ht="50.25" customHeight="1">
      <c r="B26" s="57"/>
      <c r="C26" s="739"/>
      <c r="D26" s="738"/>
      <c r="E26" s="721"/>
      <c r="F26" s="773"/>
      <c r="G26" s="773"/>
      <c r="H26" s="134">
        <f t="shared" si="0"/>
        <v>0</v>
      </c>
      <c r="I26" s="806">
        <f t="shared" si="1"/>
        <v>0</v>
      </c>
      <c r="J26" s="806">
        <f t="shared" si="2"/>
        <v>0</v>
      </c>
      <c r="K26" s="742"/>
      <c r="L26" s="58"/>
    </row>
    <row r="27" spans="2:12" ht="50.25" customHeight="1">
      <c r="B27" s="57"/>
      <c r="C27" s="739"/>
      <c r="D27" s="740"/>
      <c r="E27" s="721"/>
      <c r="F27" s="773"/>
      <c r="G27" s="773"/>
      <c r="H27" s="134">
        <f t="shared" si="0"/>
        <v>0</v>
      </c>
      <c r="I27" s="806">
        <f t="shared" si="1"/>
        <v>0</v>
      </c>
      <c r="J27" s="806">
        <f t="shared" si="2"/>
        <v>0</v>
      </c>
      <c r="K27" s="742"/>
      <c r="L27" s="58"/>
    </row>
    <row r="28" spans="2:12" ht="50.25" customHeight="1">
      <c r="B28" s="57"/>
      <c r="C28" s="737"/>
      <c r="D28" s="738"/>
      <c r="E28" s="740"/>
      <c r="F28" s="807"/>
      <c r="G28" s="807"/>
      <c r="H28" s="134">
        <f t="shared" si="0"/>
        <v>0</v>
      </c>
      <c r="I28" s="806">
        <f t="shared" si="1"/>
        <v>0</v>
      </c>
      <c r="J28" s="806">
        <f t="shared" si="2"/>
        <v>0</v>
      </c>
      <c r="K28" s="742"/>
      <c r="L28" s="58"/>
    </row>
    <row r="29" spans="2:12" ht="51" customHeight="1">
      <c r="B29" s="57"/>
      <c r="C29" s="737"/>
      <c r="D29" s="738"/>
      <c r="E29" s="738"/>
      <c r="F29" s="808"/>
      <c r="G29" s="808"/>
      <c r="H29" s="134">
        <f t="shared" si="0"/>
        <v>0</v>
      </c>
      <c r="I29" s="806">
        <f t="shared" si="1"/>
        <v>0</v>
      </c>
      <c r="J29" s="806">
        <f t="shared" si="2"/>
        <v>0</v>
      </c>
      <c r="K29" s="742"/>
      <c r="L29" s="58"/>
    </row>
    <row r="30" spans="2:12" ht="19.5" customHeight="1">
      <c r="B30" s="57"/>
      <c r="C30" s="65"/>
      <c r="D30" s="65"/>
      <c r="E30" s="65"/>
      <c r="F30" s="65"/>
      <c r="G30" s="65"/>
      <c r="H30" s="802" t="s">
        <v>40</v>
      </c>
      <c r="I30" s="802" t="s">
        <v>41</v>
      </c>
      <c r="J30" s="802" t="s">
        <v>42</v>
      </c>
      <c r="K30" s="65"/>
      <c r="L30" s="58"/>
    </row>
    <row r="31" spans="2:12" s="14" customFormat="1" ht="19.5" customHeight="1">
      <c r="B31" s="78"/>
      <c r="C31" s="79"/>
      <c r="D31" s="79"/>
      <c r="E31" s="809"/>
      <c r="F31" s="1016" t="s">
        <v>71</v>
      </c>
      <c r="G31" s="951"/>
      <c r="H31" s="141">
        <f>SUM(H20:H29)</f>
        <v>0</v>
      </c>
      <c r="I31" s="810">
        <f>SUM(I20:I29)</f>
        <v>0</v>
      </c>
      <c r="J31" s="810">
        <f>SUM(J20:J29)</f>
        <v>0</v>
      </c>
      <c r="K31" s="79"/>
      <c r="L31" s="114"/>
    </row>
    <row r="32" spans="2:12" s="14" customFormat="1" ht="19.5" customHeight="1">
      <c r="B32" s="78"/>
      <c r="C32" s="79"/>
      <c r="D32" s="79"/>
      <c r="E32" s="79"/>
      <c r="F32" s="79"/>
      <c r="G32" s="79"/>
      <c r="H32" s="79"/>
      <c r="I32" s="79"/>
      <c r="J32" s="79"/>
      <c r="K32" s="79"/>
      <c r="L32" s="114"/>
    </row>
    <row r="33" spans="2:12" s="14" customFormat="1" ht="57" customHeight="1">
      <c r="B33" s="78"/>
      <c r="C33" s="914" t="s">
        <v>817</v>
      </c>
      <c r="D33" s="914"/>
      <c r="E33" s="914"/>
      <c r="F33" s="914"/>
      <c r="G33" s="914"/>
      <c r="H33" s="914"/>
      <c r="I33" s="914"/>
      <c r="J33" s="914"/>
      <c r="K33" s="79"/>
      <c r="L33" s="114"/>
    </row>
    <row r="34" spans="2:12" ht="19.5" customHeight="1" thickBot="1">
      <c r="B34" s="80"/>
      <c r="C34" s="81"/>
      <c r="D34" s="81"/>
      <c r="E34" s="81"/>
      <c r="F34" s="81"/>
      <c r="G34" s="81"/>
      <c r="H34" s="81"/>
      <c r="I34" s="81"/>
      <c r="J34" s="81"/>
      <c r="K34" s="81"/>
      <c r="L34" s="77"/>
    </row>
    <row r="35" ht="13.5" thickTop="1"/>
    <row r="37" spans="3:7" ht="15">
      <c r="C37" s="179" t="s">
        <v>568</v>
      </c>
      <c r="D37" s="176"/>
      <c r="E37" s="176"/>
      <c r="F37" s="176"/>
      <c r="G37" s="2"/>
    </row>
    <row r="38" spans="3:7" ht="15">
      <c r="C38" s="177" t="s">
        <v>567</v>
      </c>
      <c r="D38" s="177"/>
      <c r="E38" s="177"/>
      <c r="F38" s="177"/>
      <c r="G38" s="178"/>
    </row>
  </sheetData>
  <sheetProtection password="CD08" sheet="1" objects="1" scenarios="1"/>
  <mergeCells count="8">
    <mergeCell ref="F31:G31"/>
    <mergeCell ref="C33:J33"/>
    <mergeCell ref="B1:M1"/>
    <mergeCell ref="D7:E7"/>
    <mergeCell ref="D8:E8"/>
    <mergeCell ref="D6:E6"/>
    <mergeCell ref="E13:G13"/>
    <mergeCell ref="H13:J13"/>
  </mergeCells>
  <printOptions horizontalCentered="1"/>
  <pageMargins left="0.75" right="0.75" top="1" bottom="1" header="0.5" footer="0.5"/>
  <pageSetup fitToHeight="1" fitToWidth="1" horizontalDpi="600" verticalDpi="600" orientation="landscape" scale="54" r:id="rId1"/>
  <headerFooter alignWithMargins="0">
    <oddHeader>&amp;L&amp;D&amp;R&amp;F</oddHeader>
  </headerFooter>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Administrator</dc:creator>
  <cp:keywords/>
  <dc:description/>
  <cp:lastModifiedBy>Stephen Russell</cp:lastModifiedBy>
  <cp:lastPrinted>2008-07-10T23:16:31Z</cp:lastPrinted>
  <dcterms:created xsi:type="dcterms:W3CDTF">2000-06-30T18:41:26Z</dcterms:created>
  <dcterms:modified xsi:type="dcterms:W3CDTF">2015-05-20T15:39:50Z</dcterms:modified>
  <cp:category/>
  <cp:version/>
  <cp:contentType/>
  <cp:contentStatus/>
</cp:coreProperties>
</file>